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185" tabRatio="348" activeTab="0"/>
  </bookViews>
  <sheets>
    <sheet name="Indemnización 2021" sheetId="1" r:id="rId1"/>
    <sheet name="lol" sheetId="2" state="hidden" r:id="rId2"/>
  </sheets>
  <definedNames>
    <definedName name="_xlfn.IFERROR" hidden="1">#NAME?</definedName>
    <definedName name="_xlnm.Print_Area" localSheetId="0">'Indemnización 2021'!$A$3:$E$246</definedName>
    <definedName name="ISRmensual">'Indemnización 2021'!$P$12:$S$19</definedName>
    <definedName name="isrnueva">'Indemnización 2021'!$U$12:$X$22</definedName>
    <definedName name="subsidiomensual">'Indemnización 2021'!$P$25:$R$39</definedName>
  </definedNames>
  <calcPr fullCalcOnLoad="1"/>
</workbook>
</file>

<file path=xl/comments1.xml><?xml version="1.0" encoding="utf-8"?>
<comments xmlns="http://schemas.openxmlformats.org/spreadsheetml/2006/main">
  <authors>
    <author>marodriguez956</author>
  </authors>
  <commentList>
    <comment ref="B139" authorId="0">
      <text>
        <r>
          <rPr>
            <i/>
            <sz val="9"/>
            <rFont val="Tahoma"/>
            <family val="2"/>
          </rPr>
          <t>Se incluye este concepto atendiendo al la Tesis de jurisprudencia 13/2011. Aprobada por la Segunda Sala de la SJCN, en sesión privada del 12 de enero de 2011</t>
        </r>
      </text>
    </comment>
  </commentList>
</comments>
</file>

<file path=xl/sharedStrings.xml><?xml version="1.0" encoding="utf-8"?>
<sst xmlns="http://schemas.openxmlformats.org/spreadsheetml/2006/main" count="337" uniqueCount="144">
  <si>
    <t>Área geográfica</t>
  </si>
  <si>
    <t>Días</t>
  </si>
  <si>
    <t>Meses</t>
  </si>
  <si>
    <t>años</t>
  </si>
  <si>
    <t>Nobre del trabajador</t>
  </si>
  <si>
    <t>Enero</t>
  </si>
  <si>
    <t xml:space="preserve">Zona geográfica del centro laboral </t>
  </si>
  <si>
    <t>Febrero</t>
  </si>
  <si>
    <t>Salario mínimo general del área geográfica</t>
  </si>
  <si>
    <t>Marzo</t>
  </si>
  <si>
    <t xml:space="preserve">Fecha de ingreso </t>
  </si>
  <si>
    <t>Día</t>
  </si>
  <si>
    <t>Mes</t>
  </si>
  <si>
    <t>Año</t>
  </si>
  <si>
    <t>Reunir fechas</t>
  </si>
  <si>
    <t>Abril</t>
  </si>
  <si>
    <t>Mayo</t>
  </si>
  <si>
    <t>Junio</t>
  </si>
  <si>
    <t>Julio</t>
  </si>
  <si>
    <t>Salario cuota diaria</t>
  </si>
  <si>
    <t>Límitar año del cálculo</t>
  </si>
  <si>
    <t>Agosto</t>
  </si>
  <si>
    <t>En adelante</t>
  </si>
  <si>
    <t>Días de aguinaldo</t>
  </si>
  <si>
    <t>Septiembre</t>
  </si>
  <si>
    <t xml:space="preserve">Días de vacaciones que generaría el trabajador en el año de la renuncia </t>
  </si>
  <si>
    <t>Octubre</t>
  </si>
  <si>
    <t>Subsidio mensual</t>
  </si>
  <si>
    <t>Días de vacaciones pendientes de tomar de períodos anteriores</t>
  </si>
  <si>
    <t>Noviembre</t>
  </si>
  <si>
    <t xml:space="preserve">Prima vacacional </t>
  </si>
  <si>
    <t>Considerar día anterior a la fecha de ingreso</t>
  </si>
  <si>
    <t>Diciembre</t>
  </si>
  <si>
    <t>Otros ingresos gravados pendientes de pago</t>
  </si>
  <si>
    <t>Otros ingresos exentos pendientes de pago (por ejemplo fondo de ahorro)</t>
  </si>
  <si>
    <t>Ingresos gravados y pagados en el mismo mes por los cuales ya se retuvo ISR (por ejemplo, si el cálculo es en la segunda quincena del mes sería el salario ya pagado en la primera quincena)</t>
  </si>
  <si>
    <t>ISR retenido en el mismo mes, con anterioridad a la renuncia</t>
  </si>
  <si>
    <t>Fecha de inicio del ejercicio en que se dio la renuncia</t>
  </si>
  <si>
    <t>Años de diferencia</t>
  </si>
  <si>
    <t>Numero de mes</t>
  </si>
  <si>
    <t>Igualar años</t>
  </si>
  <si>
    <t>Concepto</t>
  </si>
  <si>
    <t>Importe</t>
  </si>
  <si>
    <t>Menos:</t>
  </si>
  <si>
    <t>Diferencia de dias recuperando el día de la fecha de ingreso</t>
  </si>
  <si>
    <t>Igual:</t>
  </si>
  <si>
    <t>DETALLES DEL CÁLCULO</t>
  </si>
  <si>
    <t>Parte proporcional de aguinaldo a la fecha de la renuncia</t>
  </si>
  <si>
    <t xml:space="preserve">Cuota diaria </t>
  </si>
  <si>
    <t>Por:</t>
  </si>
  <si>
    <t>Importe de aguinaldo anual</t>
  </si>
  <si>
    <t>Entre:</t>
  </si>
  <si>
    <t>Días del año</t>
  </si>
  <si>
    <t>Proporción diaria de aguinaldo</t>
  </si>
  <si>
    <t>Aguinaldo exento</t>
  </si>
  <si>
    <t>SMG</t>
  </si>
  <si>
    <t>Días de exención</t>
  </si>
  <si>
    <t>Aguinaldo gravado</t>
  </si>
  <si>
    <t>Tope de aguinaldo exento</t>
  </si>
  <si>
    <t>Días de vacaciones pendientes de disfrutar</t>
  </si>
  <si>
    <t xml:space="preserve">Días del ejercicio </t>
  </si>
  <si>
    <t>Proporción diaria</t>
  </si>
  <si>
    <t xml:space="preserve">Días laborados </t>
  </si>
  <si>
    <t>Días proporcionales en el ejercicio de la separación</t>
  </si>
  <si>
    <t>Más:</t>
  </si>
  <si>
    <t>Días pendientes de disfrutar</t>
  </si>
  <si>
    <t>Total a pagar por vacaciones no disfrutadas</t>
  </si>
  <si>
    <t>Parte proporcional de prima vacacional a la fecha de la renuncia</t>
  </si>
  <si>
    <t>Porcentaje de prima vacacional pactada</t>
  </si>
  <si>
    <t>Prima vacacional exenta</t>
  </si>
  <si>
    <t> Por:</t>
  </si>
  <si>
    <t> Igual:</t>
  </si>
  <si>
    <t>Prima vacacional gravada</t>
  </si>
  <si>
    <t>Monto total a pagar por prestaciones devengadas a la fecha del despido</t>
  </si>
  <si>
    <t xml:space="preserve">Parte proporcional de aguinaldo </t>
  </si>
  <si>
    <t>Parte proporcional de vacaciones</t>
  </si>
  <si>
    <t xml:space="preserve">Parte proporcional de prima vacacional </t>
  </si>
  <si>
    <t>Ingresos gravados del mes</t>
  </si>
  <si>
    <t>Monto total a pagar por prestaciones devengadas por el trabajador a la fecha del despido</t>
  </si>
  <si>
    <t>Prestaciones gravables proporcionales</t>
  </si>
  <si>
    <t>Ingresos gravados y pagados en el mismo mes por los cuales ya se retuvo ISR</t>
  </si>
  <si>
    <t>Base gravable</t>
  </si>
  <si>
    <t>Límite inferior</t>
  </si>
  <si>
    <t>Excedente del límite inferior</t>
  </si>
  <si>
    <t>Por ciento para aplicarse sobre el excedente del límite inferior</t>
  </si>
  <si>
    <t>ISR marginal</t>
  </si>
  <si>
    <t>Cuota fija</t>
  </si>
  <si>
    <t>ISR a retener por finiquito</t>
  </si>
  <si>
    <t>Subsidio para el empleo</t>
  </si>
  <si>
    <t>ISR a cargo del mes</t>
  </si>
  <si>
    <t>Tope de prima vacacional exenta</t>
  </si>
  <si>
    <t>Días de vacaciones otorgadas en el al año de la separación</t>
  </si>
  <si>
    <t>Base para el pago de la prima de antigüedad</t>
  </si>
  <si>
    <t>Doble</t>
  </si>
  <si>
    <t>Años completos de servicio</t>
  </si>
  <si>
    <t>Resultado</t>
  </si>
  <si>
    <t>Días a pagar por prima de antigüedad</t>
  </si>
  <si>
    <t>Monto de prima de antigüedad a pagar por años completos de servicios</t>
  </si>
  <si>
    <t>Días del ejercicio</t>
  </si>
  <si>
    <t>Parte proporcional diaria por prima de antigüedad</t>
  </si>
  <si>
    <t>Días laborados</t>
  </si>
  <si>
    <t>Parte proporcional de prima de antigüedad a pagar por el año de la separación</t>
  </si>
  <si>
    <t>Total de la prima de antigüedad a pagar</t>
  </si>
  <si>
    <t>Años completos de servicio (cada fracción de más de seis meses se considerá como un año para efectos de la exención)</t>
  </si>
  <si>
    <t>Salarios devengados y no pagados correspondientes al mismo mes en que renunció el colaborador</t>
  </si>
  <si>
    <t>Parte proporcional de aguinaldo</t>
  </si>
  <si>
    <t>Parte proporcional de  prima vacacional</t>
  </si>
  <si>
    <t>Parte proporcional de fondo de ahorro</t>
  </si>
  <si>
    <t>Parte proporcional de otros pagos</t>
  </si>
  <si>
    <t>Salario integrado base de la indemnización</t>
  </si>
  <si>
    <t>Por ciento de aportación patronal al fondo de ahorro</t>
  </si>
  <si>
    <t xml:space="preserve">Días a pagar </t>
  </si>
  <si>
    <t>Indemnización de 3 meses</t>
  </si>
  <si>
    <t>¿Pagará la indemnización de 20 días por año trabajado?</t>
  </si>
  <si>
    <t>Si</t>
  </si>
  <si>
    <t>No</t>
  </si>
  <si>
    <t>Monto a pagar por años de servicio</t>
  </si>
  <si>
    <t>Indemnización de 20 días por año</t>
  </si>
  <si>
    <t>Importe máximo de la exención por pagos indemnizatorios</t>
  </si>
  <si>
    <t>Total de pagos indemnizatorios</t>
  </si>
  <si>
    <t>Total de pagos indemnizatorios gravados</t>
  </si>
  <si>
    <t>¿El trabajador tenia como prestación fondo de ahorro?</t>
  </si>
  <si>
    <t>Otros ingresos que forman parte del salario integrado para efectos del pago de indemnizaciones (monto diario)</t>
  </si>
  <si>
    <t>Importe del ultimo sueldo mensual ordinario del trabajador</t>
  </si>
  <si>
    <t>Contra:</t>
  </si>
  <si>
    <t>Último sueldo mensual ordianrio</t>
  </si>
  <si>
    <t>¿Los pagos indemnizatorios superan al último sueldo mensual ordinario?</t>
  </si>
  <si>
    <t>Ultimo sueldo mensual ordinario</t>
  </si>
  <si>
    <t>ISR correspondiente al último sueldo mensual ordinario</t>
  </si>
  <si>
    <t>Tasa para aplicarse al total de ingresos indemnizatorios gravados</t>
  </si>
  <si>
    <t>ISR sobre ingresos indemnizatorios gravados</t>
  </si>
  <si>
    <t>Total a retener</t>
  </si>
  <si>
    <t>Neto a pagar</t>
  </si>
  <si>
    <t>NETO A PAGAR</t>
  </si>
  <si>
    <t>Fecha de baja</t>
  </si>
  <si>
    <t>rf</t>
  </si>
  <si>
    <t>ISR conforme a la tarifa mensual del artículo 96 de la LISR</t>
  </si>
  <si>
    <t>Sólo requisitar las celdas de color azul</t>
  </si>
  <si>
    <t>CONTADOR CONTADO.COM</t>
  </si>
  <si>
    <t>GENERAL</t>
  </si>
  <si>
    <t>FRONTERA</t>
  </si>
  <si>
    <t>DATOS PARA CALCULAR PAGOS POR DESPIDO 2021</t>
  </si>
  <si>
    <t>Días laborados en 2021</t>
  </si>
  <si>
    <t>Tarifa ISR mensual 2021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</si>
</sst>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quot;$&quot;#,##0.00"/>
    <numFmt numFmtId="166" formatCode="#,##0.0000"/>
    <numFmt numFmtId="167" formatCode="0.00000"/>
    <numFmt numFmtId="168" formatCode="0.0000"/>
    <numFmt numFmtId="169" formatCode="#,##0.0000;[Red]#,##0.0000"/>
    <numFmt numFmtId="170" formatCode="#,##0.00_);[Red]\(#,##0.00\)"/>
    <numFmt numFmtId="171" formatCode="&quot;Sí&quot;;&quot;Sí&quot;;&quot;No&quot;"/>
    <numFmt numFmtId="172" formatCode="&quot;Verdadero&quot;;&quot;Verdadero&quot;;&quot;Falso&quot;"/>
    <numFmt numFmtId="173" formatCode="&quot;Activado&quot;;&quot;Activado&quot;;&quot;Desactivado&quot;"/>
    <numFmt numFmtId="174" formatCode="[$€-2]\ #,##0.00_);[Red]\([$€-2]\ #,##0.00\)"/>
    <numFmt numFmtId="175" formatCode="&quot;$&quot;#,##0.00;[Red]&quot;$&quot;#,##0.00"/>
    <numFmt numFmtId="176" formatCode="[$-80A]dddd\,\ d&quot; de &quot;mmmm&quot; de &quot;yyyy"/>
    <numFmt numFmtId="177" formatCode="[$-80A]hh:mm:ss\ AM/PM"/>
    <numFmt numFmtId="178" formatCode="0.000"/>
  </numFmts>
  <fonts count="52">
    <font>
      <sz val="10"/>
      <name val="Arial"/>
      <family val="0"/>
    </font>
    <font>
      <sz val="11"/>
      <color indexed="8"/>
      <name val="Calibri"/>
      <family val="2"/>
    </font>
    <font>
      <b/>
      <sz val="13"/>
      <name val="Arial"/>
      <family val="2"/>
    </font>
    <font>
      <b/>
      <sz val="10"/>
      <name val="Arial"/>
      <family val="2"/>
    </font>
    <font>
      <b/>
      <sz val="10"/>
      <color indexed="9"/>
      <name val="Arial"/>
      <family val="2"/>
    </font>
    <font>
      <sz val="8"/>
      <name val="Arial"/>
      <family val="2"/>
    </font>
    <font>
      <b/>
      <sz val="11"/>
      <color indexed="9"/>
      <name val="Arial"/>
      <family val="2"/>
    </font>
    <font>
      <sz val="9"/>
      <name val="Arial"/>
      <family val="2"/>
    </font>
    <font>
      <u val="single"/>
      <sz val="10"/>
      <name val="Arial"/>
      <family val="2"/>
    </font>
    <font>
      <sz val="10"/>
      <color indexed="63"/>
      <name val="Arial"/>
      <family val="2"/>
    </font>
    <font>
      <i/>
      <sz val="9"/>
      <name val="Tahoma"/>
      <family val="2"/>
    </font>
    <font>
      <b/>
      <sz val="13"/>
      <name val="Century Gothic"/>
      <family val="2"/>
    </font>
    <font>
      <sz val="10"/>
      <name val="Century Gothic"/>
      <family val="2"/>
    </font>
    <font>
      <b/>
      <sz val="10"/>
      <name val="Century Gothic"/>
      <family val="2"/>
    </font>
    <font>
      <sz val="10"/>
      <color indexed="10"/>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2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666666"/>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3499799966812134"/>
        <bgColor indexed="64"/>
      </patternFill>
    </fill>
    <fill>
      <patternFill patternType="solid">
        <fgColor theme="0"/>
        <bgColor indexed="64"/>
      </patternFill>
    </fill>
    <fill>
      <patternFill patternType="solid">
        <fgColor rgb="FF33CC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hair"/>
      <bottom style="hair"/>
    </border>
    <border>
      <left style="thin"/>
      <right style="thin"/>
      <top style="thin"/>
      <bottom style="thin"/>
    </border>
    <border>
      <left style="thin"/>
      <right style="thin"/>
      <top style="thin"/>
      <bottom/>
    </border>
    <border>
      <left style="thin"/>
      <right style="thin"/>
      <top/>
      <bottom/>
    </border>
    <border>
      <left>
        <color indexed="63"/>
      </left>
      <right>
        <color indexed="63"/>
      </right>
      <top style="double"/>
      <bottom>
        <color indexed="63"/>
      </bottom>
    </border>
    <border>
      <left>
        <color indexed="63"/>
      </left>
      <right>
        <color indexed="63"/>
      </right>
      <top>
        <color indexed="63"/>
      </top>
      <bottom style="double"/>
    </border>
    <border>
      <left style="medium"/>
      <right>
        <color indexed="63"/>
      </right>
      <top style="medium"/>
      <bottom style="medium"/>
    </border>
    <border>
      <left/>
      <right style="medium"/>
      <top style="medium"/>
      <bottom style="medium"/>
    </border>
    <border>
      <left/>
      <right/>
      <top/>
      <bottom style="hair"/>
    </border>
    <border>
      <left/>
      <right style="thin"/>
      <top/>
      <bottom style="hair"/>
    </border>
    <border>
      <left style="thin"/>
      <right/>
      <top>
        <color indexed="63"/>
      </top>
      <bottom style="hair"/>
    </border>
    <border>
      <left/>
      <right style="thin"/>
      <top style="hair"/>
      <bottom style="hair"/>
    </border>
    <border>
      <left style="thin"/>
      <right/>
      <top style="hair"/>
      <bottom style="hair"/>
    </border>
    <border>
      <left/>
      <right style="medium"/>
      <top/>
      <bottom/>
    </border>
    <border>
      <left/>
      <right style="thin"/>
      <top style="medium"/>
      <bottom style="medium"/>
    </border>
    <border>
      <left style="thin"/>
      <right style="medium"/>
      <top style="medium"/>
      <bottom style="medium"/>
    </border>
    <border>
      <left/>
      <right style="thin"/>
      <top style="thin"/>
      <bottom style="thin"/>
    </border>
    <border>
      <left style="thin"/>
      <right/>
      <top style="thin"/>
      <bottom style="thin"/>
    </border>
    <border>
      <left/>
      <right/>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25">
    <xf numFmtId="0" fontId="0" fillId="0" borderId="0" xfId="0" applyAlignment="1">
      <alignment/>
    </xf>
    <xf numFmtId="0" fontId="0" fillId="33" borderId="0" xfId="0" applyFont="1" applyFill="1" applyAlignment="1" applyProtection="1">
      <alignment/>
      <protection hidden="1"/>
    </xf>
    <xf numFmtId="0" fontId="0" fillId="33" borderId="10" xfId="0" applyFont="1" applyFill="1" applyBorder="1" applyAlignment="1" applyProtection="1">
      <alignment horizontal="right" wrapText="1"/>
      <protection hidden="1"/>
    </xf>
    <xf numFmtId="0" fontId="0" fillId="33" borderId="0" xfId="0" applyFont="1" applyFill="1" applyBorder="1" applyAlignment="1" applyProtection="1">
      <alignment/>
      <protection hidden="1"/>
    </xf>
    <xf numFmtId="168" fontId="0" fillId="33" borderId="0" xfId="0" applyNumberFormat="1" applyFont="1" applyFill="1" applyAlignment="1" applyProtection="1">
      <alignment/>
      <protection hidden="1"/>
    </xf>
    <xf numFmtId="0" fontId="3" fillId="33" borderId="0" xfId="0" applyFont="1" applyFill="1" applyAlignment="1" applyProtection="1">
      <alignment/>
      <protection hidden="1"/>
    </xf>
    <xf numFmtId="0" fontId="0" fillId="33" borderId="0" xfId="0" applyFont="1" applyFill="1" applyAlignment="1" applyProtection="1">
      <alignment wrapText="1"/>
      <protection hidden="1"/>
    </xf>
    <xf numFmtId="0" fontId="0" fillId="33" borderId="0" xfId="0" applyFont="1" applyFill="1" applyBorder="1" applyAlignment="1" applyProtection="1">
      <alignment horizontal="right" vertical="top" wrapText="1"/>
      <protection hidden="1"/>
    </xf>
    <xf numFmtId="4" fontId="0" fillId="33" borderId="0" xfId="0" applyNumberFormat="1" applyFont="1" applyFill="1" applyBorder="1" applyAlignment="1" applyProtection="1">
      <alignment horizontal="right" vertical="top" wrapText="1"/>
      <protection hidden="1"/>
    </xf>
    <xf numFmtId="14" fontId="0" fillId="33" borderId="0" xfId="0" applyNumberFormat="1" applyFont="1" applyFill="1" applyAlignment="1" applyProtection="1">
      <alignment/>
      <protection hidden="1"/>
    </xf>
    <xf numFmtId="1" fontId="0" fillId="33" borderId="0" xfId="0" applyNumberFormat="1" applyFont="1" applyFill="1" applyAlignment="1" applyProtection="1">
      <alignment/>
      <protection hidden="1"/>
    </xf>
    <xf numFmtId="3" fontId="0" fillId="33" borderId="0" xfId="0" applyNumberFormat="1" applyFont="1" applyFill="1" applyAlignment="1" applyProtection="1">
      <alignment/>
      <protection hidden="1"/>
    </xf>
    <xf numFmtId="2" fontId="0" fillId="33" borderId="0" xfId="0" applyNumberFormat="1" applyFont="1" applyFill="1" applyAlignment="1" applyProtection="1">
      <alignment/>
      <protection hidden="1"/>
    </xf>
    <xf numFmtId="164" fontId="0" fillId="33" borderId="0" xfId="0" applyNumberFormat="1" applyFont="1" applyFill="1" applyAlignment="1" applyProtection="1">
      <alignment/>
      <protection hidden="1"/>
    </xf>
    <xf numFmtId="0" fontId="0" fillId="0" borderId="0" xfId="0" applyFont="1" applyAlignment="1" applyProtection="1">
      <alignment/>
      <protection hidden="1"/>
    </xf>
    <xf numFmtId="0" fontId="0" fillId="33" borderId="11" xfId="0" applyFont="1" applyFill="1" applyBorder="1" applyAlignment="1" applyProtection="1">
      <alignment/>
      <protection hidden="1"/>
    </xf>
    <xf numFmtId="0" fontId="0" fillId="33" borderId="11" xfId="0" applyFont="1" applyFill="1" applyBorder="1" applyAlignment="1" applyProtection="1">
      <alignment/>
      <protection hidden="1"/>
    </xf>
    <xf numFmtId="164" fontId="3" fillId="0" borderId="11" xfId="0" applyNumberFormat="1" applyFont="1" applyFill="1" applyBorder="1" applyAlignment="1" applyProtection="1">
      <alignment horizontal="right" wrapText="1"/>
      <protection hidden="1"/>
    </xf>
    <xf numFmtId="14" fontId="3" fillId="33" borderId="12" xfId="0" applyNumberFormat="1" applyFont="1" applyFill="1" applyBorder="1" applyAlignment="1" applyProtection="1">
      <alignment horizontal="center" wrapText="1"/>
      <protection hidden="1"/>
    </xf>
    <xf numFmtId="0" fontId="3" fillId="33" borderId="11" xfId="0" applyFont="1" applyFill="1" applyBorder="1" applyAlignment="1" applyProtection="1">
      <alignment horizontal="center"/>
      <protection hidden="1"/>
    </xf>
    <xf numFmtId="0" fontId="0" fillId="33" borderId="0" xfId="0" applyFont="1" applyFill="1" applyBorder="1" applyAlignment="1" applyProtection="1">
      <alignment/>
      <protection hidden="1"/>
    </xf>
    <xf numFmtId="14" fontId="3" fillId="33" borderId="13" xfId="0" applyNumberFormat="1" applyFont="1" applyFill="1" applyBorder="1" applyAlignment="1" applyProtection="1">
      <alignment horizontal="center" wrapText="1"/>
      <protection hidden="1"/>
    </xf>
    <xf numFmtId="0" fontId="3" fillId="33" borderId="0" xfId="0" applyFont="1" applyFill="1" applyAlignment="1" applyProtection="1">
      <alignment horizontal="center"/>
      <protection hidden="1"/>
    </xf>
    <xf numFmtId="0" fontId="0" fillId="0" borderId="0" xfId="0" applyFont="1" applyFill="1" applyBorder="1" applyAlignment="1" applyProtection="1">
      <alignment/>
      <protection hidden="1"/>
    </xf>
    <xf numFmtId="0" fontId="0" fillId="0" borderId="0" xfId="0" applyAlignment="1" applyProtection="1">
      <alignment/>
      <protection hidden="1"/>
    </xf>
    <xf numFmtId="0" fontId="8" fillId="33" borderId="0" xfId="0" applyFont="1" applyFill="1" applyAlignment="1" applyProtection="1">
      <alignment/>
      <protection hidden="1"/>
    </xf>
    <xf numFmtId="167" fontId="0" fillId="0" borderId="0" xfId="0" applyNumberFormat="1" applyFont="1" applyAlignment="1" applyProtection="1">
      <alignment/>
      <protection hidden="1"/>
    </xf>
    <xf numFmtId="1" fontId="0" fillId="0" borderId="0" xfId="0" applyNumberFormat="1" applyFont="1" applyAlignment="1" applyProtection="1">
      <alignment/>
      <protection hidden="1"/>
    </xf>
    <xf numFmtId="2" fontId="0" fillId="0" borderId="0" xfId="0" applyNumberFormat="1" applyFont="1" applyAlignment="1" applyProtection="1">
      <alignment/>
      <protection hidden="1"/>
    </xf>
    <xf numFmtId="164" fontId="0" fillId="0" borderId="0" xfId="0" applyNumberFormat="1" applyFont="1" applyAlignment="1" applyProtection="1">
      <alignment/>
      <protection hidden="1"/>
    </xf>
    <xf numFmtId="4" fontId="7" fillId="0" borderId="0" xfId="0" applyNumberFormat="1" applyFont="1" applyAlignment="1" applyProtection="1">
      <alignment/>
      <protection hidden="1"/>
    </xf>
    <xf numFmtId="4" fontId="0" fillId="33" borderId="0" xfId="0" applyNumberFormat="1" applyFont="1" applyFill="1" applyAlignment="1" applyProtection="1">
      <alignment/>
      <protection hidden="1"/>
    </xf>
    <xf numFmtId="0" fontId="3" fillId="33" borderId="0" xfId="0" applyFont="1" applyFill="1" applyBorder="1" applyAlignment="1" applyProtection="1">
      <alignment horizontal="center"/>
      <protection hidden="1"/>
    </xf>
    <xf numFmtId="0" fontId="3" fillId="33" borderId="0" xfId="0" applyFont="1" applyFill="1" applyBorder="1" applyAlignment="1" applyProtection="1">
      <alignment/>
      <protection hidden="1"/>
    </xf>
    <xf numFmtId="0" fontId="3" fillId="0" borderId="11" xfId="0" applyFont="1" applyFill="1" applyBorder="1" applyAlignment="1" applyProtection="1">
      <alignment/>
      <protection hidden="1" locked="0"/>
    </xf>
    <xf numFmtId="17" fontId="0" fillId="0" borderId="0" xfId="0" applyNumberFormat="1" applyFont="1" applyAlignment="1" applyProtection="1">
      <alignment/>
      <protection hidden="1"/>
    </xf>
    <xf numFmtId="0" fontId="9" fillId="0" borderId="0" xfId="0" applyFont="1" applyFill="1" applyAlignment="1">
      <alignment/>
    </xf>
    <xf numFmtId="0" fontId="0" fillId="33" borderId="0" xfId="0" applyFont="1" applyFill="1" applyBorder="1" applyAlignment="1" applyProtection="1">
      <alignment/>
      <protection hidden="1"/>
    </xf>
    <xf numFmtId="0" fontId="5" fillId="0" borderId="14" xfId="0" applyFont="1" applyBorder="1" applyAlignment="1">
      <alignment horizontal="right" vertical="top" wrapText="1"/>
    </xf>
    <xf numFmtId="0" fontId="5" fillId="0" borderId="0" xfId="0" applyFont="1" applyAlignment="1">
      <alignment horizontal="right" vertical="top" wrapText="1"/>
    </xf>
    <xf numFmtId="4" fontId="5" fillId="0" borderId="0" xfId="0" applyNumberFormat="1" applyFont="1" applyAlignment="1">
      <alignment horizontal="right" vertical="top" wrapText="1"/>
    </xf>
    <xf numFmtId="4" fontId="5" fillId="0" borderId="15" xfId="0" applyNumberFormat="1" applyFont="1" applyBorder="1" applyAlignment="1">
      <alignment horizontal="right" vertical="top" wrapText="1"/>
    </xf>
    <xf numFmtId="0" fontId="5" fillId="0" borderId="15" xfId="0" applyFont="1" applyBorder="1" applyAlignment="1">
      <alignment horizontal="right" vertical="top" wrapText="1"/>
    </xf>
    <xf numFmtId="0" fontId="0" fillId="34" borderId="11" xfId="0" applyFont="1" applyFill="1" applyBorder="1" applyAlignment="1" applyProtection="1">
      <alignment/>
      <protection hidden="1"/>
    </xf>
    <xf numFmtId="0" fontId="0" fillId="34" borderId="11" xfId="0" applyFont="1" applyFill="1" applyBorder="1" applyAlignment="1" applyProtection="1">
      <alignment/>
      <protection hidden="1"/>
    </xf>
    <xf numFmtId="165" fontId="4" fillId="0" borderId="0" xfId="0" applyNumberFormat="1" applyFont="1" applyFill="1" applyBorder="1" applyAlignment="1" applyProtection="1">
      <alignment/>
      <protection hidden="1" locked="0"/>
    </xf>
    <xf numFmtId="0" fontId="50" fillId="0" borderId="0" xfId="0" applyFont="1" applyBorder="1" applyAlignment="1">
      <alignment horizontal="right" vertical="top" wrapText="1"/>
    </xf>
    <xf numFmtId="0" fontId="12" fillId="33" borderId="0" xfId="0" applyFont="1" applyFill="1" applyAlignment="1" applyProtection="1">
      <alignment/>
      <protection hidden="1"/>
    </xf>
    <xf numFmtId="0" fontId="12" fillId="33" borderId="16" xfId="0" applyFont="1" applyFill="1" applyBorder="1" applyAlignment="1" applyProtection="1">
      <alignment/>
      <protection hidden="1"/>
    </xf>
    <xf numFmtId="0" fontId="13" fillId="33" borderId="17" xfId="0" applyFont="1" applyFill="1" applyBorder="1" applyAlignment="1" applyProtection="1">
      <alignment horizontal="center"/>
      <protection hidden="1"/>
    </xf>
    <xf numFmtId="0" fontId="14" fillId="33" borderId="18" xfId="0" applyFont="1" applyFill="1" applyBorder="1" applyAlignment="1" applyProtection="1">
      <alignment wrapText="1"/>
      <protection hidden="1"/>
    </xf>
    <xf numFmtId="0" fontId="12" fillId="33" borderId="19" xfId="0" applyFont="1" applyFill="1" applyBorder="1" applyAlignment="1" applyProtection="1">
      <alignment wrapText="1"/>
      <protection hidden="1"/>
    </xf>
    <xf numFmtId="164" fontId="12" fillId="33" borderId="20" xfId="0" applyNumberFormat="1" applyFont="1" applyFill="1" applyBorder="1" applyAlignment="1" applyProtection="1">
      <alignment horizontal="right" wrapText="1"/>
      <protection hidden="1"/>
    </xf>
    <xf numFmtId="0" fontId="14" fillId="33" borderId="10" xfId="0" applyFont="1" applyFill="1" applyBorder="1" applyAlignment="1" applyProtection="1">
      <alignment wrapText="1"/>
      <protection hidden="1"/>
    </xf>
    <xf numFmtId="0" fontId="12" fillId="33" borderId="21" xfId="0" applyFont="1" applyFill="1" applyBorder="1" applyAlignment="1" applyProtection="1">
      <alignment wrapText="1"/>
      <protection hidden="1"/>
    </xf>
    <xf numFmtId="4" fontId="12" fillId="33" borderId="22" xfId="0" applyNumberFormat="1" applyFont="1" applyFill="1" applyBorder="1" applyAlignment="1" applyProtection="1">
      <alignment horizontal="right" wrapText="1"/>
      <protection hidden="1"/>
    </xf>
    <xf numFmtId="164" fontId="14" fillId="33" borderId="22" xfId="0" applyNumberFormat="1" applyFont="1" applyFill="1" applyBorder="1" applyAlignment="1" applyProtection="1">
      <alignment horizontal="right" wrapText="1"/>
      <protection hidden="1"/>
    </xf>
    <xf numFmtId="164" fontId="14" fillId="33" borderId="0" xfId="0" applyNumberFormat="1" applyFont="1" applyFill="1" applyBorder="1" applyAlignment="1" applyProtection="1">
      <alignment horizontal="right" wrapText="1"/>
      <protection hidden="1"/>
    </xf>
    <xf numFmtId="0" fontId="13" fillId="33" borderId="23" xfId="0" applyFont="1" applyFill="1" applyBorder="1" applyAlignment="1" applyProtection="1">
      <alignment/>
      <protection hidden="1"/>
    </xf>
    <xf numFmtId="0" fontId="13" fillId="33" borderId="0" xfId="0" applyFont="1" applyFill="1" applyBorder="1" applyAlignment="1" applyProtection="1">
      <alignment/>
      <protection hidden="1"/>
    </xf>
    <xf numFmtId="0" fontId="13" fillId="33" borderId="24" xfId="0" applyFont="1" applyFill="1" applyBorder="1" applyAlignment="1" applyProtection="1">
      <alignment horizontal="center"/>
      <protection hidden="1"/>
    </xf>
    <xf numFmtId="0" fontId="13" fillId="33" borderId="25" xfId="0" applyFont="1" applyFill="1" applyBorder="1" applyAlignment="1" applyProtection="1">
      <alignment horizontal="center"/>
      <protection hidden="1"/>
    </xf>
    <xf numFmtId="0" fontId="12" fillId="33" borderId="22" xfId="0" applyFont="1" applyFill="1" applyBorder="1" applyAlignment="1" applyProtection="1">
      <alignment horizontal="right" wrapText="1"/>
      <protection hidden="1"/>
    </xf>
    <xf numFmtId="3" fontId="12" fillId="33" borderId="22" xfId="0" applyNumberFormat="1" applyFont="1" applyFill="1" applyBorder="1" applyAlignment="1" applyProtection="1">
      <alignment horizontal="right" wrapText="1"/>
      <protection hidden="1"/>
    </xf>
    <xf numFmtId="0" fontId="14" fillId="33" borderId="21" xfId="0" applyFont="1" applyFill="1" applyBorder="1" applyAlignment="1" applyProtection="1">
      <alignment wrapText="1"/>
      <protection hidden="1"/>
    </xf>
    <xf numFmtId="164" fontId="12" fillId="33" borderId="18" xfId="0" applyNumberFormat="1" applyFont="1" applyFill="1" applyBorder="1" applyAlignment="1" applyProtection="1">
      <alignment horizontal="right" wrapText="1"/>
      <protection hidden="1"/>
    </xf>
    <xf numFmtId="0" fontId="12" fillId="33" borderId="10" xfId="0" applyFont="1" applyFill="1" applyBorder="1" applyAlignment="1" applyProtection="1">
      <alignment horizontal="right" wrapText="1"/>
      <protection hidden="1"/>
    </xf>
    <xf numFmtId="164" fontId="14" fillId="33" borderId="10" xfId="0" applyNumberFormat="1" applyFont="1" applyFill="1" applyBorder="1" applyAlignment="1" applyProtection="1">
      <alignment horizontal="right" wrapText="1"/>
      <protection hidden="1"/>
    </xf>
    <xf numFmtId="4" fontId="12" fillId="33" borderId="10" xfId="0" applyNumberFormat="1" applyFont="1" applyFill="1" applyBorder="1" applyAlignment="1" applyProtection="1">
      <alignment horizontal="right" wrapText="1"/>
      <protection hidden="1"/>
    </xf>
    <xf numFmtId="0" fontId="12" fillId="33" borderId="18" xfId="0" applyFont="1" applyFill="1" applyBorder="1" applyAlignment="1" applyProtection="1">
      <alignment horizontal="right" wrapText="1"/>
      <protection hidden="1"/>
    </xf>
    <xf numFmtId="0" fontId="14" fillId="33" borderId="10" xfId="0" applyFont="1" applyFill="1" applyBorder="1" applyAlignment="1" applyProtection="1">
      <alignment/>
      <protection hidden="1"/>
    </xf>
    <xf numFmtId="170" fontId="12" fillId="33" borderId="10" xfId="0" applyNumberFormat="1" applyFont="1" applyFill="1" applyBorder="1" applyAlignment="1" applyProtection="1">
      <alignment horizontal="right" wrapText="1"/>
      <protection hidden="1"/>
    </xf>
    <xf numFmtId="40" fontId="14" fillId="33" borderId="10" xfId="0" applyNumberFormat="1" applyFont="1" applyFill="1" applyBorder="1" applyAlignment="1" applyProtection="1">
      <alignment horizontal="right" wrapText="1"/>
      <protection hidden="1"/>
    </xf>
    <xf numFmtId="0" fontId="13" fillId="33" borderId="16" xfId="0" applyFont="1" applyFill="1" applyBorder="1" applyAlignment="1" applyProtection="1">
      <alignment/>
      <protection hidden="1"/>
    </xf>
    <xf numFmtId="170" fontId="12" fillId="33" borderId="18" xfId="0" applyNumberFormat="1" applyFont="1" applyFill="1" applyBorder="1" applyAlignment="1" applyProtection="1">
      <alignment horizontal="right" wrapText="1"/>
      <protection hidden="1"/>
    </xf>
    <xf numFmtId="164" fontId="12" fillId="33" borderId="10" xfId="0" applyNumberFormat="1" applyFont="1" applyFill="1" applyBorder="1" applyAlignment="1" applyProtection="1">
      <alignment horizontal="right" wrapText="1"/>
      <protection hidden="1"/>
    </xf>
    <xf numFmtId="9" fontId="12" fillId="33" borderId="10" xfId="0" applyNumberFormat="1" applyFont="1" applyFill="1" applyBorder="1" applyAlignment="1" applyProtection="1">
      <alignment horizontal="right" wrapText="1"/>
      <protection hidden="1"/>
    </xf>
    <xf numFmtId="0" fontId="12" fillId="35" borderId="0" xfId="0" applyFont="1" applyFill="1" applyAlignment="1" applyProtection="1">
      <alignment/>
      <protection hidden="1"/>
    </xf>
    <xf numFmtId="0" fontId="13" fillId="35" borderId="0" xfId="0" applyFont="1" applyFill="1" applyBorder="1" applyAlignment="1" applyProtection="1">
      <alignment wrapText="1"/>
      <protection hidden="1"/>
    </xf>
    <xf numFmtId="0" fontId="12" fillId="35" borderId="0" xfId="0" applyFont="1" applyFill="1" applyBorder="1" applyAlignment="1" applyProtection="1">
      <alignment wrapText="1"/>
      <protection hidden="1"/>
    </xf>
    <xf numFmtId="0" fontId="13" fillId="35" borderId="23" xfId="0" applyFont="1" applyFill="1" applyBorder="1" applyAlignment="1" applyProtection="1">
      <alignment/>
      <protection hidden="1"/>
    </xf>
    <xf numFmtId="38" fontId="12" fillId="33" borderId="18" xfId="0" applyNumberFormat="1" applyFont="1" applyFill="1" applyBorder="1" applyAlignment="1" applyProtection="1">
      <alignment horizontal="right" wrapText="1"/>
      <protection hidden="1"/>
    </xf>
    <xf numFmtId="166" fontId="12" fillId="33" borderId="10" xfId="0" applyNumberFormat="1" applyFont="1" applyFill="1" applyBorder="1" applyAlignment="1" applyProtection="1">
      <alignment horizontal="right" wrapText="1"/>
      <protection hidden="1"/>
    </xf>
    <xf numFmtId="168" fontId="12" fillId="33" borderId="0" xfId="0" applyNumberFormat="1" applyFont="1" applyFill="1" applyAlignment="1" applyProtection="1">
      <alignment/>
      <protection hidden="1"/>
    </xf>
    <xf numFmtId="3" fontId="12" fillId="33" borderId="10" xfId="0" applyNumberFormat="1" applyFont="1" applyFill="1" applyBorder="1" applyAlignment="1" applyProtection="1">
      <alignment horizontal="right" wrapText="1"/>
      <protection hidden="1"/>
    </xf>
    <xf numFmtId="0" fontId="13" fillId="0" borderId="23" xfId="0" applyFont="1" applyFill="1" applyBorder="1" applyAlignment="1" applyProtection="1">
      <alignment/>
      <protection hidden="1"/>
    </xf>
    <xf numFmtId="164" fontId="12" fillId="0" borderId="18" xfId="0" applyNumberFormat="1" applyFont="1" applyFill="1" applyBorder="1" applyAlignment="1" applyProtection="1">
      <alignment horizontal="right" wrapText="1"/>
      <protection hidden="1"/>
    </xf>
    <xf numFmtId="10" fontId="12" fillId="33" borderId="10" xfId="53" applyNumberFormat="1" applyFont="1" applyFill="1" applyBorder="1" applyAlignment="1" applyProtection="1">
      <alignment horizontal="right" wrapText="1"/>
      <protection hidden="1"/>
    </xf>
    <xf numFmtId="164" fontId="14" fillId="33" borderId="21" xfId="0" applyNumberFormat="1" applyFont="1" applyFill="1" applyBorder="1" applyAlignment="1" applyProtection="1">
      <alignment horizontal="left" wrapText="1"/>
      <protection hidden="1"/>
    </xf>
    <xf numFmtId="169" fontId="14" fillId="33" borderId="10" xfId="0" applyNumberFormat="1" applyFont="1" applyFill="1" applyBorder="1" applyAlignment="1" applyProtection="1">
      <alignment horizontal="right" wrapText="1"/>
      <protection hidden="1"/>
    </xf>
    <xf numFmtId="0" fontId="14" fillId="33" borderId="0" xfId="0" applyFont="1" applyFill="1" applyBorder="1" applyAlignment="1" applyProtection="1">
      <alignment wrapText="1"/>
      <protection hidden="1"/>
    </xf>
    <xf numFmtId="164" fontId="12" fillId="33" borderId="0" xfId="0" applyNumberFormat="1" applyFont="1" applyFill="1" applyBorder="1" applyAlignment="1" applyProtection="1">
      <alignment horizontal="right" wrapText="1"/>
      <protection hidden="1"/>
    </xf>
    <xf numFmtId="4" fontId="12" fillId="33" borderId="0" xfId="0" applyNumberFormat="1" applyFont="1" applyFill="1" applyBorder="1" applyAlignment="1" applyProtection="1">
      <alignment horizontal="right" wrapText="1"/>
      <protection hidden="1"/>
    </xf>
    <xf numFmtId="0" fontId="14" fillId="33" borderId="18" xfId="0" applyFont="1" applyFill="1" applyBorder="1" applyAlignment="1" applyProtection="1">
      <alignment/>
      <protection hidden="1"/>
    </xf>
    <xf numFmtId="0" fontId="12" fillId="33" borderId="19" xfId="0" applyFont="1" applyFill="1" applyBorder="1" applyAlignment="1" applyProtection="1">
      <alignment/>
      <protection hidden="1"/>
    </xf>
    <xf numFmtId="40" fontId="12" fillId="33" borderId="10" xfId="0" applyNumberFormat="1" applyFont="1" applyFill="1" applyBorder="1" applyAlignment="1" applyProtection="1">
      <alignment horizontal="right" wrapText="1"/>
      <protection hidden="1"/>
    </xf>
    <xf numFmtId="164" fontId="14" fillId="0" borderId="10" xfId="0" applyNumberFormat="1" applyFont="1" applyFill="1" applyBorder="1" applyAlignment="1" applyProtection="1">
      <alignment horizontal="right" wrapText="1"/>
      <protection hidden="1"/>
    </xf>
    <xf numFmtId="164" fontId="12" fillId="33" borderId="0" xfId="0" applyNumberFormat="1" applyFont="1" applyFill="1" applyAlignment="1" applyProtection="1">
      <alignment/>
      <protection hidden="1"/>
    </xf>
    <xf numFmtId="0" fontId="4" fillId="36" borderId="11" xfId="0" applyFont="1" applyFill="1" applyBorder="1" applyAlignment="1" applyProtection="1">
      <alignment/>
      <protection hidden="1" locked="0"/>
    </xf>
    <xf numFmtId="0" fontId="4" fillId="36" borderId="11" xfId="0" applyFont="1" applyFill="1" applyBorder="1" applyAlignment="1" applyProtection="1">
      <alignment horizontal="right" wrapText="1"/>
      <protection hidden="1" locked="0"/>
    </xf>
    <xf numFmtId="1" fontId="4" fillId="36" borderId="26" xfId="0" applyNumberFormat="1" applyFont="1" applyFill="1" applyBorder="1" applyAlignment="1" applyProtection="1">
      <alignment horizontal="right" wrapText="1"/>
      <protection hidden="1" locked="0"/>
    </xf>
    <xf numFmtId="0" fontId="3" fillId="36" borderId="11" xfId="0" applyFont="1" applyFill="1" applyBorder="1" applyAlignment="1" applyProtection="1">
      <alignment/>
      <protection hidden="1" locked="0"/>
    </xf>
    <xf numFmtId="164" fontId="4" fillId="36" borderId="11" xfId="0" applyNumberFormat="1" applyFont="1" applyFill="1" applyBorder="1" applyAlignment="1" applyProtection="1">
      <alignment horizontal="right" wrapText="1"/>
      <protection hidden="1" locked="0"/>
    </xf>
    <xf numFmtId="9" fontId="4" fillId="36" borderId="11" xfId="0" applyNumberFormat="1" applyFont="1" applyFill="1" applyBorder="1" applyAlignment="1" applyProtection="1">
      <alignment horizontal="right" wrapText="1"/>
      <protection hidden="1" locked="0"/>
    </xf>
    <xf numFmtId="165" fontId="4" fillId="36" borderId="11" xfId="0" applyNumberFormat="1" applyFont="1" applyFill="1" applyBorder="1" applyAlignment="1" applyProtection="1">
      <alignment horizontal="right" wrapText="1"/>
      <protection hidden="1" locked="0"/>
    </xf>
    <xf numFmtId="165" fontId="4" fillId="36" borderId="11" xfId="0" applyNumberFormat="1" applyFont="1" applyFill="1" applyBorder="1" applyAlignment="1" applyProtection="1">
      <alignment/>
      <protection hidden="1" locked="0"/>
    </xf>
    <xf numFmtId="14" fontId="4" fillId="36" borderId="11" xfId="0" applyNumberFormat="1" applyFont="1" applyFill="1" applyBorder="1" applyAlignment="1" applyProtection="1">
      <alignment/>
      <protection hidden="1" locked="0"/>
    </xf>
    <xf numFmtId="14" fontId="0" fillId="0" borderId="0" xfId="0" applyNumberFormat="1" applyFont="1" applyAlignment="1" applyProtection="1">
      <alignment/>
      <protection hidden="1"/>
    </xf>
    <xf numFmtId="0" fontId="0" fillId="33" borderId="0" xfId="0" applyFont="1" applyFill="1" applyAlignment="1" applyProtection="1">
      <alignment/>
      <protection hidden="1"/>
    </xf>
    <xf numFmtId="0" fontId="0" fillId="0" borderId="0" xfId="0" applyFont="1" applyAlignment="1">
      <alignment/>
    </xf>
    <xf numFmtId="0" fontId="0" fillId="34" borderId="27" xfId="0" applyFont="1" applyFill="1" applyBorder="1" applyAlignment="1" applyProtection="1">
      <alignment horizontal="left" wrapText="1"/>
      <protection hidden="1"/>
    </xf>
    <xf numFmtId="0" fontId="0" fillId="34" borderId="26" xfId="0" applyFont="1" applyFill="1" applyBorder="1" applyAlignment="1" applyProtection="1">
      <alignment horizontal="left" wrapText="1"/>
      <protection hidden="1"/>
    </xf>
    <xf numFmtId="0" fontId="11" fillId="33" borderId="0" xfId="0" applyFont="1" applyFill="1" applyAlignment="1" applyProtection="1">
      <alignment horizontal="center"/>
      <protection hidden="1"/>
    </xf>
    <xf numFmtId="0" fontId="6" fillId="36" borderId="0" xfId="0" applyFont="1" applyFill="1" applyAlignment="1" applyProtection="1">
      <alignment horizontal="center" wrapText="1"/>
      <protection hidden="1"/>
    </xf>
    <xf numFmtId="0" fontId="0" fillId="34" borderId="11" xfId="0" applyFont="1" applyFill="1" applyBorder="1" applyAlignment="1" applyProtection="1">
      <alignment horizontal="right"/>
      <protection hidden="1"/>
    </xf>
    <xf numFmtId="0" fontId="11" fillId="33" borderId="0" xfId="0" applyFont="1" applyFill="1" applyAlignment="1" applyProtection="1">
      <alignment horizontal="center" wrapText="1"/>
      <protection hidden="1"/>
    </xf>
    <xf numFmtId="0" fontId="0" fillId="0" borderId="28" xfId="0" applyFont="1" applyFill="1" applyBorder="1" applyAlignment="1" applyProtection="1">
      <alignment wrapText="1"/>
      <protection hidden="1"/>
    </xf>
    <xf numFmtId="0" fontId="0" fillId="0" borderId="28" xfId="0" applyBorder="1" applyAlignment="1" applyProtection="1">
      <alignment wrapText="1"/>
      <protection hidden="1"/>
    </xf>
    <xf numFmtId="0" fontId="2" fillId="33" borderId="29" xfId="0" applyFont="1" applyFill="1" applyBorder="1" applyAlignment="1" applyProtection="1">
      <alignment horizontal="center" vertical="center"/>
      <protection hidden="1"/>
    </xf>
    <xf numFmtId="0" fontId="0" fillId="33" borderId="27" xfId="0" applyFont="1" applyFill="1" applyBorder="1" applyAlignment="1" applyProtection="1">
      <alignment horizontal="left" wrapText="1"/>
      <protection hidden="1"/>
    </xf>
    <xf numFmtId="0" fontId="0" fillId="33" borderId="26" xfId="0" applyFont="1" applyFill="1" applyBorder="1" applyAlignment="1" applyProtection="1">
      <alignment horizontal="left" wrapText="1"/>
      <protection hidden="1"/>
    </xf>
    <xf numFmtId="10" fontId="0" fillId="33" borderId="0" xfId="0" applyNumberFormat="1" applyFont="1" applyFill="1" applyAlignment="1" applyProtection="1">
      <alignment/>
      <protection hidden="1"/>
    </xf>
    <xf numFmtId="2" fontId="5" fillId="0" borderId="14" xfId="0" applyNumberFormat="1" applyFont="1" applyBorder="1" applyAlignment="1">
      <alignment horizontal="right" vertical="top" wrapText="1"/>
    </xf>
    <xf numFmtId="2" fontId="5" fillId="0" borderId="0" xfId="0" applyNumberFormat="1" applyFont="1" applyAlignment="1">
      <alignment horizontal="right" vertical="top" wrapText="1"/>
    </xf>
    <xf numFmtId="2" fontId="5" fillId="0" borderId="15" xfId="0" applyNumberFormat="1" applyFont="1" applyBorder="1" applyAlignment="1">
      <alignment horizontal="righ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youtube.com/channel/UCU7cs6EF6VAUKCrgnxCUzVg" TargetMode="External" /><Relationship Id="rId3" Type="http://schemas.openxmlformats.org/officeDocument/2006/relationships/hyperlink" Target="https://www.youtube.com/channel/UCU7cs6EF6VAUKCrgnxCUzV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0</xdr:rowOff>
    </xdr:from>
    <xdr:to>
      <xdr:col>4</xdr:col>
      <xdr:colOff>600075</xdr:colOff>
      <xdr:row>10</xdr:row>
      <xdr:rowOff>400050</xdr:rowOff>
    </xdr:to>
    <xdr:pic>
      <xdr:nvPicPr>
        <xdr:cNvPr id="1" name="1 Imagen">
          <a:hlinkClick r:id="rId3"/>
        </xdr:cNvPr>
        <xdr:cNvPicPr preferRelativeResize="1">
          <a:picLocks noChangeAspect="1"/>
        </xdr:cNvPicPr>
      </xdr:nvPicPr>
      <xdr:blipFill>
        <a:blip r:embed="rId1"/>
        <a:stretch>
          <a:fillRect/>
        </a:stretch>
      </xdr:blipFill>
      <xdr:spPr>
        <a:xfrm>
          <a:off x="57150" y="161925"/>
          <a:ext cx="8153400" cy="1952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pageSetUpPr fitToPage="1"/>
  </sheetPr>
  <dimension ref="A6:IV246"/>
  <sheetViews>
    <sheetView showGridLines="0" tabSelected="1" workbookViewId="0" topLeftCell="A1">
      <selection activeCell="C12" sqref="C12"/>
    </sheetView>
  </sheetViews>
  <sheetFormatPr defaultColWidth="0" defaultRowHeight="12.75" zeroHeight="1"/>
  <cols>
    <col min="1" max="1" width="8.28125" style="1" customWidth="1"/>
    <col min="2" max="2" width="70.00390625" style="1" customWidth="1"/>
    <col min="3" max="3" width="24.28125" style="1" customWidth="1"/>
    <col min="4" max="4" width="11.57421875" style="1" customWidth="1"/>
    <col min="5" max="5" width="9.421875" style="1" customWidth="1"/>
    <col min="6" max="6" width="13.28125" style="0" customWidth="1"/>
    <col min="7" max="7" width="17.8515625" style="14" hidden="1" customWidth="1"/>
    <col min="8" max="8" width="11.421875" style="14" hidden="1" customWidth="1"/>
    <col min="9" max="9" width="14.8515625" style="1" hidden="1" customWidth="1"/>
    <col min="10" max="10" width="13.7109375" style="1" hidden="1" customWidth="1"/>
    <col min="11" max="11" width="13.421875" style="1" hidden="1" customWidth="1"/>
    <col min="12" max="14" width="11.421875" style="1" hidden="1" customWidth="1"/>
    <col min="15" max="15" width="17.421875" style="1" hidden="1" customWidth="1"/>
    <col min="16" max="25" width="11.421875" style="1" hidden="1" customWidth="1"/>
    <col min="26" max="27" width="5.421875" style="1" hidden="1" customWidth="1"/>
    <col min="28" max="28" width="10.140625" style="1" hidden="1" customWidth="1"/>
    <col min="29" max="29" width="10.8515625" style="1" hidden="1" customWidth="1"/>
    <col min="30" max="30" width="10.140625" style="1" hidden="1" customWidth="1"/>
    <col min="31" max="31" width="7.28125" style="1" hidden="1" customWidth="1"/>
    <col min="32" max="255" width="5.421875" style="1" hidden="1" customWidth="1"/>
    <col min="256" max="16384" width="11.421875" style="1" hidden="1" customWidth="1"/>
  </cols>
  <sheetData>
    <row r="1" ht="12.75"/>
    <row r="2" ht="12.75"/>
    <row r="3" ht="12.75"/>
    <row r="4" ht="12.75"/>
    <row r="5" ht="12.75"/>
    <row r="6" spans="11:12" ht="12.75">
      <c r="K6" s="46"/>
      <c r="L6" s="46"/>
    </row>
    <row r="7" ht="12.75"/>
    <row r="8" ht="12.75">
      <c r="J8" s="1" t="s">
        <v>114</v>
      </c>
    </row>
    <row r="9" ht="18" customHeight="1">
      <c r="J9" s="1" t="s">
        <v>115</v>
      </c>
    </row>
    <row r="10" ht="15" customHeight="1"/>
    <row r="11" spans="1:21" ht="38.25" customHeight="1" thickBot="1">
      <c r="A11" s="118" t="s">
        <v>141</v>
      </c>
      <c r="B11" s="118"/>
      <c r="C11" s="118"/>
      <c r="D11" s="113" t="s">
        <v>137</v>
      </c>
      <c r="E11" s="113"/>
      <c r="I11" s="5" t="s">
        <v>0</v>
      </c>
      <c r="J11" s="5">
        <v>2021</v>
      </c>
      <c r="L11" s="1" t="s">
        <v>1</v>
      </c>
      <c r="M11" s="1" t="s">
        <v>2</v>
      </c>
      <c r="N11" s="1" t="s">
        <v>3</v>
      </c>
      <c r="Q11" s="3"/>
      <c r="R11" s="3"/>
      <c r="S11" s="3"/>
      <c r="T11" s="3"/>
      <c r="U11" s="37" t="s">
        <v>143</v>
      </c>
    </row>
    <row r="12" spans="1:31" ht="13.5" thickTop="1">
      <c r="A12" s="15" t="s">
        <v>4</v>
      </c>
      <c r="B12" s="15"/>
      <c r="C12" s="98" t="s">
        <v>138</v>
      </c>
      <c r="D12" s="113"/>
      <c r="E12" s="113"/>
      <c r="I12" s="108" t="s">
        <v>139</v>
      </c>
      <c r="J12" s="109">
        <v>141.7</v>
      </c>
      <c r="L12" s="1">
        <v>1</v>
      </c>
      <c r="M12" s="1" t="s">
        <v>5</v>
      </c>
      <c r="N12" s="1">
        <v>1920</v>
      </c>
      <c r="P12" s="7"/>
      <c r="Q12" s="7"/>
      <c r="R12" s="7"/>
      <c r="S12" s="7"/>
      <c r="T12" s="3"/>
      <c r="U12" s="38">
        <v>0.01</v>
      </c>
      <c r="V12" s="38">
        <v>644.58</v>
      </c>
      <c r="W12" s="38">
        <v>0</v>
      </c>
      <c r="X12" s="122">
        <v>1.92</v>
      </c>
      <c r="AE12" s="121"/>
    </row>
    <row r="13" spans="1:31" ht="12.75">
      <c r="A13" s="44" t="s">
        <v>6</v>
      </c>
      <c r="B13" s="43"/>
      <c r="C13" s="99" t="s">
        <v>139</v>
      </c>
      <c r="F13" s="1"/>
      <c r="I13" s="108" t="s">
        <v>140</v>
      </c>
      <c r="J13" s="109">
        <v>213.39</v>
      </c>
      <c r="L13" s="1">
        <v>2</v>
      </c>
      <c r="M13" s="1" t="s">
        <v>7</v>
      </c>
      <c r="N13" s="1">
        <v>1921</v>
      </c>
      <c r="P13" s="7"/>
      <c r="Q13" s="8"/>
      <c r="R13" s="7"/>
      <c r="S13" s="7"/>
      <c r="T13" s="3"/>
      <c r="U13" s="39">
        <v>644.59</v>
      </c>
      <c r="V13" s="40">
        <v>5470.92</v>
      </c>
      <c r="W13" s="39">
        <v>12.38</v>
      </c>
      <c r="X13" s="123">
        <v>6.4</v>
      </c>
      <c r="AC13" s="31"/>
      <c r="AE13" s="121"/>
    </row>
    <row r="14" spans="1:31" ht="12.75">
      <c r="A14" s="16" t="s">
        <v>8</v>
      </c>
      <c r="B14" s="15"/>
      <c r="C14" s="17">
        <f>IF(C13="GENERAL",J12,J13)</f>
        <v>141.7</v>
      </c>
      <c r="F14" s="1"/>
      <c r="J14"/>
      <c r="L14" s="1">
        <v>3</v>
      </c>
      <c r="M14" s="1" t="s">
        <v>9</v>
      </c>
      <c r="N14" s="1">
        <v>1922</v>
      </c>
      <c r="P14" s="8"/>
      <c r="Q14" s="8"/>
      <c r="R14" s="7"/>
      <c r="S14" s="7"/>
      <c r="T14" s="3"/>
      <c r="U14" s="40">
        <v>5470.93</v>
      </c>
      <c r="V14" s="40">
        <v>9614.66</v>
      </c>
      <c r="W14" s="39">
        <v>321.26</v>
      </c>
      <c r="X14" s="123">
        <v>10.88</v>
      </c>
      <c r="AB14" s="31"/>
      <c r="AC14" s="31"/>
      <c r="AE14" s="121"/>
    </row>
    <row r="15" spans="1:31" ht="12.75">
      <c r="A15" s="114" t="s">
        <v>10</v>
      </c>
      <c r="B15" s="114"/>
      <c r="C15" s="18" t="s">
        <v>11</v>
      </c>
      <c r="D15" s="19" t="s">
        <v>12</v>
      </c>
      <c r="E15" s="19" t="s">
        <v>13</v>
      </c>
      <c r="F15" s="1"/>
      <c r="I15" s="1" t="s">
        <v>14</v>
      </c>
      <c r="L15" s="1">
        <v>4</v>
      </c>
      <c r="M15" s="1" t="s">
        <v>15</v>
      </c>
      <c r="N15" s="1">
        <v>1923</v>
      </c>
      <c r="P15" s="8"/>
      <c r="Q15" s="8"/>
      <c r="R15" s="7"/>
      <c r="S15" s="7"/>
      <c r="T15" s="3"/>
      <c r="U15" s="40">
        <v>9614.67</v>
      </c>
      <c r="V15" s="40">
        <v>11176.62</v>
      </c>
      <c r="W15" s="39">
        <v>772.1</v>
      </c>
      <c r="X15" s="123">
        <v>16</v>
      </c>
      <c r="AB15" s="31"/>
      <c r="AC15" s="31"/>
      <c r="AE15" s="121"/>
    </row>
    <row r="16" spans="1:31" ht="12.75">
      <c r="A16" s="20"/>
      <c r="B16" s="3"/>
      <c r="C16" s="100">
        <v>1</v>
      </c>
      <c r="D16" s="98" t="s">
        <v>5</v>
      </c>
      <c r="E16" s="101">
        <v>2021</v>
      </c>
      <c r="F16" s="1"/>
      <c r="I16" s="1" t="str">
        <f>CONCATENATE(C16,D16,E16)</f>
        <v>1Enero2021</v>
      </c>
      <c r="L16" s="1">
        <v>5</v>
      </c>
      <c r="M16" s="1" t="s">
        <v>16</v>
      </c>
      <c r="N16" s="1">
        <v>1924</v>
      </c>
      <c r="P16" s="8"/>
      <c r="Q16" s="8"/>
      <c r="R16" s="7"/>
      <c r="S16" s="7"/>
      <c r="T16" s="3"/>
      <c r="U16" s="40">
        <v>11176.63</v>
      </c>
      <c r="V16" s="40">
        <v>13381.47</v>
      </c>
      <c r="W16" s="39">
        <v>1022.01</v>
      </c>
      <c r="X16" s="123">
        <v>17.92</v>
      </c>
      <c r="AB16" s="31"/>
      <c r="AC16" s="31"/>
      <c r="AD16" s="31"/>
      <c r="AE16" s="121"/>
    </row>
    <row r="17" spans="1:31" ht="12.75">
      <c r="A17" s="114" t="s">
        <v>134</v>
      </c>
      <c r="B17" s="114"/>
      <c r="C17" s="21" t="s">
        <v>11</v>
      </c>
      <c r="D17" s="22" t="s">
        <v>12</v>
      </c>
      <c r="E17" s="19" t="s">
        <v>13</v>
      </c>
      <c r="F17" s="1"/>
      <c r="L17" s="1">
        <v>6</v>
      </c>
      <c r="M17" s="1" t="s">
        <v>17</v>
      </c>
      <c r="N17" s="1">
        <v>1925</v>
      </c>
      <c r="P17" s="8"/>
      <c r="Q17" s="8"/>
      <c r="R17" s="8"/>
      <c r="S17" s="7"/>
      <c r="T17" s="3"/>
      <c r="U17" s="40">
        <v>13381.48</v>
      </c>
      <c r="V17" s="40">
        <v>26988.5</v>
      </c>
      <c r="W17" s="40">
        <v>1417.12</v>
      </c>
      <c r="X17" s="123">
        <v>21.36</v>
      </c>
      <c r="AB17" s="31"/>
      <c r="AC17" s="31"/>
      <c r="AD17" s="31"/>
      <c r="AE17" s="121"/>
    </row>
    <row r="18" spans="1:31" ht="12.75">
      <c r="A18" s="20"/>
      <c r="B18" s="3"/>
      <c r="C18" s="100">
        <v>31</v>
      </c>
      <c r="D18" s="98" t="s">
        <v>32</v>
      </c>
      <c r="E18" s="34">
        <v>2021</v>
      </c>
      <c r="F18" s="1"/>
      <c r="I18" s="1" t="str">
        <f>CONCATENATE(C18,D18,E18)</f>
        <v>31Diciembre2021</v>
      </c>
      <c r="J18" s="6"/>
      <c r="L18" s="1">
        <v>7</v>
      </c>
      <c r="M18" s="1" t="s">
        <v>18</v>
      </c>
      <c r="N18" s="1">
        <v>1926</v>
      </c>
      <c r="P18" s="8"/>
      <c r="Q18" s="8"/>
      <c r="R18" s="8"/>
      <c r="S18" s="7"/>
      <c r="T18" s="3"/>
      <c r="U18" s="40">
        <v>26988.51</v>
      </c>
      <c r="V18" s="40">
        <v>42537.58</v>
      </c>
      <c r="W18" s="40">
        <v>4323.58</v>
      </c>
      <c r="X18" s="123">
        <v>23.52</v>
      </c>
      <c r="AB18" s="31"/>
      <c r="AC18" s="31"/>
      <c r="AD18" s="31"/>
      <c r="AE18" s="121"/>
    </row>
    <row r="19" spans="1:31" ht="16.5" customHeight="1">
      <c r="A19" s="44" t="s">
        <v>19</v>
      </c>
      <c r="B19" s="43"/>
      <c r="C19" s="102">
        <v>141.7</v>
      </c>
      <c r="F19" s="1"/>
      <c r="I19" s="1" t="s">
        <v>20</v>
      </c>
      <c r="L19" s="1">
        <v>8</v>
      </c>
      <c r="M19" s="1" t="s">
        <v>21</v>
      </c>
      <c r="N19" s="1">
        <v>1927</v>
      </c>
      <c r="P19" s="8"/>
      <c r="Q19" s="7"/>
      <c r="R19" s="8"/>
      <c r="S19" s="7"/>
      <c r="T19" s="3"/>
      <c r="U19" s="40">
        <v>42537.59</v>
      </c>
      <c r="V19" s="40">
        <v>81211.25</v>
      </c>
      <c r="W19" s="40">
        <v>7980.73</v>
      </c>
      <c r="X19" s="123">
        <v>30</v>
      </c>
      <c r="AB19" s="31"/>
      <c r="AC19" s="31"/>
      <c r="AD19" s="31"/>
      <c r="AE19" s="121"/>
    </row>
    <row r="20" spans="1:31" ht="12.75">
      <c r="A20" s="16" t="s">
        <v>23</v>
      </c>
      <c r="B20" s="15"/>
      <c r="C20" s="99">
        <v>15</v>
      </c>
      <c r="F20" s="1"/>
      <c r="I20" s="9">
        <v>44197</v>
      </c>
      <c r="L20" s="1">
        <v>9</v>
      </c>
      <c r="M20" s="1" t="s">
        <v>24</v>
      </c>
      <c r="N20" s="1">
        <v>1928</v>
      </c>
      <c r="P20" s="3"/>
      <c r="Q20" s="3"/>
      <c r="R20" s="3"/>
      <c r="S20" s="3"/>
      <c r="T20" s="3"/>
      <c r="U20" s="40">
        <v>81211.26</v>
      </c>
      <c r="V20" s="40">
        <v>108281.67</v>
      </c>
      <c r="W20" s="40">
        <v>19582.83</v>
      </c>
      <c r="X20" s="123">
        <v>32</v>
      </c>
      <c r="AB20" s="31"/>
      <c r="AC20" s="31"/>
      <c r="AD20" s="31"/>
      <c r="AE20" s="121"/>
    </row>
    <row r="21" spans="1:31" ht="12.75">
      <c r="A21" s="44" t="s">
        <v>25</v>
      </c>
      <c r="B21" s="43"/>
      <c r="C21" s="99">
        <v>6</v>
      </c>
      <c r="F21" s="1"/>
      <c r="I21" s="9">
        <v>44561</v>
      </c>
      <c r="L21" s="1">
        <v>10</v>
      </c>
      <c r="M21" s="1" t="s">
        <v>26</v>
      </c>
      <c r="N21" s="1">
        <v>1929</v>
      </c>
      <c r="S21" s="3"/>
      <c r="T21" s="3"/>
      <c r="U21" s="40">
        <v>108281.68</v>
      </c>
      <c r="V21" s="40">
        <v>324845.01</v>
      </c>
      <c r="W21" s="40">
        <v>28245.36</v>
      </c>
      <c r="X21" s="123">
        <v>34</v>
      </c>
      <c r="AB21" s="31"/>
      <c r="AC21" s="31"/>
      <c r="AD21" s="31"/>
      <c r="AE21" s="121"/>
    </row>
    <row r="22" spans="1:31" ht="13.5" thickBot="1">
      <c r="A22" s="16" t="s">
        <v>28</v>
      </c>
      <c r="B22" s="15"/>
      <c r="C22" s="99">
        <v>0</v>
      </c>
      <c r="F22" s="1"/>
      <c r="L22" s="1">
        <v>11</v>
      </c>
      <c r="M22" s="1" t="s">
        <v>29</v>
      </c>
      <c r="N22" s="1">
        <v>1930</v>
      </c>
      <c r="S22" s="3"/>
      <c r="T22" s="3"/>
      <c r="U22" s="41">
        <v>324845.02</v>
      </c>
      <c r="V22" s="42">
        <v>0</v>
      </c>
      <c r="W22" s="41">
        <v>101876.9</v>
      </c>
      <c r="X22" s="124">
        <v>35</v>
      </c>
      <c r="AB22" s="31"/>
      <c r="AD22" s="31"/>
      <c r="AE22" s="121"/>
    </row>
    <row r="23" spans="1:20" ht="13.5" thickTop="1">
      <c r="A23" s="44" t="s">
        <v>30</v>
      </c>
      <c r="B23" s="43"/>
      <c r="C23" s="103">
        <v>0.25</v>
      </c>
      <c r="F23" s="1"/>
      <c r="I23" s="1" t="s">
        <v>31</v>
      </c>
      <c r="L23" s="1">
        <v>12</v>
      </c>
      <c r="M23" s="1" t="s">
        <v>32</v>
      </c>
      <c r="N23" s="1">
        <v>1931</v>
      </c>
      <c r="S23" s="3"/>
      <c r="T23" s="3"/>
    </row>
    <row r="24" spans="1:20" ht="29.25" customHeight="1">
      <c r="A24" s="119" t="s">
        <v>104</v>
      </c>
      <c r="B24" s="120"/>
      <c r="C24" s="104">
        <v>0</v>
      </c>
      <c r="F24" s="1"/>
      <c r="G24" s="14">
        <f>+C19*30</f>
        <v>4251</v>
      </c>
      <c r="I24" s="9">
        <f>I16-1</f>
        <v>44196</v>
      </c>
      <c r="L24" s="1">
        <v>13</v>
      </c>
      <c r="N24" s="1">
        <v>1932</v>
      </c>
      <c r="P24" s="3" t="s">
        <v>27</v>
      </c>
      <c r="Q24" s="3"/>
      <c r="R24" s="3"/>
      <c r="S24" s="3"/>
      <c r="T24" s="3"/>
    </row>
    <row r="25" spans="1:20" ht="15.75" customHeight="1">
      <c r="A25" s="44" t="s">
        <v>33</v>
      </c>
      <c r="B25" s="43"/>
      <c r="C25" s="105">
        <v>0</v>
      </c>
      <c r="F25" s="1"/>
      <c r="I25" s="1">
        <f>DATEDIF(I16,I18,"Y")</f>
        <v>0</v>
      </c>
      <c r="L25" s="1">
        <v>14</v>
      </c>
      <c r="N25" s="1">
        <v>1933</v>
      </c>
      <c r="P25" s="7">
        <v>0.01</v>
      </c>
      <c r="Q25" s="8">
        <v>1768.96</v>
      </c>
      <c r="R25" s="7">
        <v>407.02</v>
      </c>
      <c r="S25" s="3"/>
      <c r="T25" s="3"/>
    </row>
    <row r="26" spans="1:20" ht="12.75">
      <c r="A26" s="16" t="s">
        <v>34</v>
      </c>
      <c r="B26" s="15"/>
      <c r="C26" s="105">
        <v>0</v>
      </c>
      <c r="F26" s="1"/>
      <c r="L26" s="1">
        <v>15</v>
      </c>
      <c r="N26" s="1">
        <v>1934</v>
      </c>
      <c r="P26" s="8">
        <v>1768.97</v>
      </c>
      <c r="Q26" s="8">
        <v>2653.38</v>
      </c>
      <c r="R26" s="7">
        <v>406.83</v>
      </c>
      <c r="S26" s="3"/>
      <c r="T26" s="3"/>
    </row>
    <row r="27" spans="1:20" ht="37.5" customHeight="1">
      <c r="A27" s="110" t="s">
        <v>35</v>
      </c>
      <c r="B27" s="111"/>
      <c r="C27" s="105"/>
      <c r="F27" s="1"/>
      <c r="I27" s="10">
        <f>+C16</f>
        <v>1</v>
      </c>
      <c r="J27" s="10" t="str">
        <f>+D16</f>
        <v>Enero</v>
      </c>
      <c r="K27" s="10">
        <f>+E16</f>
        <v>2021</v>
      </c>
      <c r="L27" s="1">
        <v>16</v>
      </c>
      <c r="N27" s="1">
        <v>1935</v>
      </c>
      <c r="P27" s="8">
        <v>2653.39</v>
      </c>
      <c r="Q27" s="8">
        <v>3472.84</v>
      </c>
      <c r="R27" s="7">
        <v>406.62</v>
      </c>
      <c r="S27" s="3"/>
      <c r="T27" s="3"/>
    </row>
    <row r="28" spans="1:20" ht="13.5" customHeight="1">
      <c r="A28" s="16" t="s">
        <v>36</v>
      </c>
      <c r="B28" s="15"/>
      <c r="C28" s="105">
        <v>0</v>
      </c>
      <c r="F28" s="1"/>
      <c r="I28" s="10">
        <f>+C18</f>
        <v>31</v>
      </c>
      <c r="J28" s="10" t="str">
        <f>+D18</f>
        <v>Diciembre</v>
      </c>
      <c r="K28" s="10">
        <f>+E18</f>
        <v>2021</v>
      </c>
      <c r="L28" s="1">
        <v>17</v>
      </c>
      <c r="N28" s="1">
        <v>1936</v>
      </c>
      <c r="P28" s="8">
        <v>3472.85</v>
      </c>
      <c r="Q28" s="8">
        <v>3537.87</v>
      </c>
      <c r="R28" s="7">
        <v>392.77</v>
      </c>
      <c r="S28" s="3"/>
      <c r="T28" s="3"/>
    </row>
    <row r="29" spans="1:20" ht="12.75">
      <c r="A29" s="43" t="s">
        <v>37</v>
      </c>
      <c r="B29" s="43"/>
      <c r="C29" s="106">
        <v>44197</v>
      </c>
      <c r="F29" s="1"/>
      <c r="G29" s="35">
        <v>38261</v>
      </c>
      <c r="J29" s="1" t="s">
        <v>38</v>
      </c>
      <c r="K29" s="10">
        <f>DATEDIF(I16,I18,"y")</f>
        <v>0</v>
      </c>
      <c r="L29" s="1">
        <v>18</v>
      </c>
      <c r="N29" s="1">
        <v>1937</v>
      </c>
      <c r="P29" s="8">
        <v>3537.88</v>
      </c>
      <c r="Q29" s="8">
        <v>4446.15</v>
      </c>
      <c r="R29" s="7">
        <v>382.46</v>
      </c>
      <c r="S29" s="3"/>
      <c r="T29" s="3"/>
    </row>
    <row r="30" spans="1:20" ht="12.75">
      <c r="A30" s="1" t="s">
        <v>121</v>
      </c>
      <c r="C30" s="99" t="s">
        <v>115</v>
      </c>
      <c r="F30" s="1"/>
      <c r="G30" s="35">
        <v>40787</v>
      </c>
      <c r="K30" s="10"/>
      <c r="L30" s="1">
        <v>19</v>
      </c>
      <c r="N30" s="1">
        <v>1938</v>
      </c>
      <c r="P30" s="8">
        <v>4446.16</v>
      </c>
      <c r="Q30" s="8">
        <v>4717.18</v>
      </c>
      <c r="R30" s="7">
        <v>354.23</v>
      </c>
      <c r="S30" s="3"/>
      <c r="T30" s="3"/>
    </row>
    <row r="31" spans="1:20" ht="12.75">
      <c r="A31" s="110" t="s">
        <v>110</v>
      </c>
      <c r="B31" s="111"/>
      <c r="C31" s="103">
        <v>0</v>
      </c>
      <c r="F31" s="1"/>
      <c r="G31" s="14">
        <f>+G30-G29</f>
        <v>2526</v>
      </c>
      <c r="H31" s="1" t="s">
        <v>39</v>
      </c>
      <c r="J31" s="11" t="s">
        <v>40</v>
      </c>
      <c r="L31" s="1">
        <v>20</v>
      </c>
      <c r="N31" s="1">
        <v>1939</v>
      </c>
      <c r="P31" s="8">
        <v>4717.19</v>
      </c>
      <c r="Q31" s="8">
        <v>5335.42</v>
      </c>
      <c r="R31" s="7">
        <v>324.87</v>
      </c>
      <c r="S31" s="3"/>
      <c r="T31" s="3"/>
    </row>
    <row r="32" spans="1:20" ht="28.5" customHeight="1">
      <c r="A32" s="116" t="s">
        <v>122</v>
      </c>
      <c r="B32" s="117"/>
      <c r="C32" s="105">
        <v>0</v>
      </c>
      <c r="F32" s="1"/>
      <c r="G32" s="14">
        <f>+G31/365</f>
        <v>6.920547945205479</v>
      </c>
      <c r="H32" s="1">
        <f>MONTH(I16)</f>
        <v>1</v>
      </c>
      <c r="I32" s="10">
        <f>+I27</f>
        <v>1</v>
      </c>
      <c r="J32" s="10" t="str">
        <f>+J27</f>
        <v>Enero</v>
      </c>
      <c r="K32" s="10">
        <f>IF(H32&gt;H36,(K27+K29),(K27+K29))</f>
        <v>2021</v>
      </c>
      <c r="L32" s="1">
        <v>21</v>
      </c>
      <c r="N32" s="1">
        <v>1940</v>
      </c>
      <c r="P32" s="8">
        <v>5335.43</v>
      </c>
      <c r="Q32" s="8">
        <v>6224.67</v>
      </c>
      <c r="R32" s="7">
        <v>294.63</v>
      </c>
      <c r="S32" s="3"/>
      <c r="T32" s="3"/>
    </row>
    <row r="33" spans="1:20" ht="27.75" customHeight="1">
      <c r="A33" s="110" t="s">
        <v>113</v>
      </c>
      <c r="B33" s="111"/>
      <c r="C33" s="99" t="s">
        <v>115</v>
      </c>
      <c r="F33" s="1"/>
      <c r="H33" s="1"/>
      <c r="I33" s="10"/>
      <c r="J33" s="10"/>
      <c r="K33" s="10"/>
      <c r="L33" s="1">
        <v>22</v>
      </c>
      <c r="N33" s="1">
        <v>1941</v>
      </c>
      <c r="P33" s="8"/>
      <c r="Q33" s="8"/>
      <c r="R33" s="7"/>
      <c r="S33" s="3"/>
      <c r="T33" s="3"/>
    </row>
    <row r="34" spans="1:20" ht="12.75">
      <c r="A34" s="23" t="s">
        <v>123</v>
      </c>
      <c r="B34" s="24"/>
      <c r="C34" s="105">
        <v>5000</v>
      </c>
      <c r="E34" s="25"/>
      <c r="F34" s="1"/>
      <c r="H34" s="1"/>
      <c r="I34" s="10"/>
      <c r="J34" s="10"/>
      <c r="K34" s="10"/>
      <c r="L34" s="1">
        <v>23</v>
      </c>
      <c r="N34" s="1">
        <v>1942</v>
      </c>
      <c r="P34" s="8">
        <v>6224.68</v>
      </c>
      <c r="Q34" s="8">
        <v>7113.9</v>
      </c>
      <c r="R34" s="7">
        <v>253.54</v>
      </c>
      <c r="S34" s="3"/>
      <c r="T34" s="3"/>
    </row>
    <row r="35" spans="1:20" ht="12.75">
      <c r="A35" s="23"/>
      <c r="B35" s="24"/>
      <c r="C35" s="45"/>
      <c r="E35" s="25"/>
      <c r="F35" s="1"/>
      <c r="H35" s="1"/>
      <c r="I35" s="10"/>
      <c r="J35" s="10"/>
      <c r="K35" s="10"/>
      <c r="L35" s="1">
        <v>24</v>
      </c>
      <c r="N35" s="1">
        <v>1943</v>
      </c>
      <c r="P35" s="8"/>
      <c r="Q35" s="8"/>
      <c r="R35" s="7"/>
      <c r="S35" s="3"/>
      <c r="T35" s="3"/>
    </row>
    <row r="36" spans="1:20" ht="16.5" customHeight="1">
      <c r="A36" s="112" t="s">
        <v>133</v>
      </c>
      <c r="B36" s="112"/>
      <c r="C36" s="112"/>
      <c r="F36" s="1"/>
      <c r="H36" s="1">
        <f>MONTH(I18)</f>
        <v>12</v>
      </c>
      <c r="I36" s="10">
        <f>+I28</f>
        <v>31</v>
      </c>
      <c r="J36" s="10" t="str">
        <f>+J28</f>
        <v>Diciembre</v>
      </c>
      <c r="K36" s="10">
        <f>+K28</f>
        <v>2021</v>
      </c>
      <c r="L36" s="1">
        <v>25</v>
      </c>
      <c r="N36" s="1">
        <v>1944</v>
      </c>
      <c r="P36" s="8">
        <v>7113.91</v>
      </c>
      <c r="Q36" s="8">
        <v>7382.33</v>
      </c>
      <c r="R36" s="7">
        <v>217.61</v>
      </c>
      <c r="S36" s="3"/>
      <c r="T36" s="3"/>
    </row>
    <row r="37" spans="1:20" ht="14.25" thickBot="1">
      <c r="A37" s="47"/>
      <c r="B37" s="47"/>
      <c r="C37" s="47"/>
      <c r="F37" s="1"/>
      <c r="H37" s="1"/>
      <c r="J37" s="12" t="str">
        <f>+I15</f>
        <v>Reunir fechas</v>
      </c>
      <c r="L37" s="1">
        <v>26</v>
      </c>
      <c r="N37" s="1">
        <v>1945</v>
      </c>
      <c r="O37" s="9"/>
      <c r="P37" s="8"/>
      <c r="Q37" s="8"/>
      <c r="R37" s="7"/>
      <c r="S37" s="3"/>
      <c r="T37" s="3"/>
    </row>
    <row r="38" spans="1:20" ht="14.25" thickBot="1">
      <c r="A38" s="48"/>
      <c r="B38" s="49" t="s">
        <v>41</v>
      </c>
      <c r="C38" s="49" t="s">
        <v>42</v>
      </c>
      <c r="F38" s="1"/>
      <c r="H38" s="1"/>
      <c r="J38" s="1" t="str">
        <f>CONCATENATE(I32,J32,K32)</f>
        <v>1Enero2021</v>
      </c>
      <c r="K38" s="9"/>
      <c r="L38" s="1">
        <v>27</v>
      </c>
      <c r="N38" s="1">
        <v>1946</v>
      </c>
      <c r="P38" s="8"/>
      <c r="Q38" s="8"/>
      <c r="R38" s="7"/>
      <c r="S38" s="3"/>
      <c r="T38" s="3"/>
    </row>
    <row r="39" spans="1:20" ht="25.5">
      <c r="A39" s="50"/>
      <c r="B39" s="51" t="str">
        <f>+B184</f>
        <v>Monto total a pagar por prestaciones devengadas a la fecha del despido</v>
      </c>
      <c r="C39" s="52">
        <f>+C184</f>
        <v>3185.2799999999997</v>
      </c>
      <c r="F39" s="1"/>
      <c r="H39" s="1"/>
      <c r="J39" s="1" t="str">
        <f>CONCATENATE(I36,J36,K36)</f>
        <v>31Diciembre2021</v>
      </c>
      <c r="K39" s="9"/>
      <c r="L39" s="1">
        <v>28</v>
      </c>
      <c r="N39" s="1">
        <v>1947</v>
      </c>
      <c r="O39" s="12"/>
      <c r="P39" s="8">
        <v>7382.34</v>
      </c>
      <c r="Q39" s="7" t="s">
        <v>22</v>
      </c>
      <c r="R39" s="7">
        <v>0</v>
      </c>
      <c r="S39" s="3"/>
      <c r="T39" s="3"/>
    </row>
    <row r="40" spans="1:14" ht="13.5">
      <c r="A40" s="53" t="s">
        <v>64</v>
      </c>
      <c r="B40" s="54" t="str">
        <f>+B172</f>
        <v>Total de pagos indemnizatorios</v>
      </c>
      <c r="C40" s="55">
        <f>+C172</f>
        <v>15029.4</v>
      </c>
      <c r="F40" s="1"/>
      <c r="H40" s="1" t="s">
        <v>44</v>
      </c>
      <c r="J40" s="1">
        <f>(J39-J38)+1</f>
        <v>365</v>
      </c>
      <c r="L40" s="1">
        <v>29</v>
      </c>
      <c r="N40" s="1">
        <v>1948</v>
      </c>
    </row>
    <row r="41" spans="1:14" ht="13.5">
      <c r="A41" s="53" t="s">
        <v>43</v>
      </c>
      <c r="B41" s="54" t="str">
        <f>+B241</f>
        <v>ISR a retener por finiquito</v>
      </c>
      <c r="C41" s="55">
        <f>+C241</f>
        <v>-235.48000000000002</v>
      </c>
      <c r="F41" s="1"/>
      <c r="L41" s="1">
        <v>30</v>
      </c>
      <c r="N41" s="1">
        <v>1949</v>
      </c>
    </row>
    <row r="42" spans="1:14" ht="13.5">
      <c r="A42" s="53" t="s">
        <v>43</v>
      </c>
      <c r="B42" s="54" t="str">
        <f>+B222</f>
        <v>ISR sobre ingresos indemnizatorios gravados</v>
      </c>
      <c r="C42" s="55">
        <f>+C222</f>
        <v>0</v>
      </c>
      <c r="F42" s="1"/>
      <c r="L42" s="1">
        <v>31</v>
      </c>
      <c r="N42" s="1">
        <v>1950</v>
      </c>
    </row>
    <row r="43" spans="1:14" ht="15.75" customHeight="1">
      <c r="A43" s="53" t="s">
        <v>45</v>
      </c>
      <c r="B43" s="54" t="s">
        <v>132</v>
      </c>
      <c r="C43" s="56">
        <f>+C39+C40-C41-C42</f>
        <v>18450.16</v>
      </c>
      <c r="F43" s="1"/>
      <c r="H43" s="14" t="s">
        <v>55</v>
      </c>
      <c r="I43" s="13">
        <f>+C14</f>
        <v>141.7</v>
      </c>
      <c r="N43" s="1">
        <v>1951</v>
      </c>
    </row>
    <row r="44" spans="1:14" ht="13.5">
      <c r="A44" s="47"/>
      <c r="B44" s="47"/>
      <c r="C44" s="57"/>
      <c r="F44" s="1"/>
      <c r="H44" s="14" t="s">
        <v>93</v>
      </c>
      <c r="I44" s="1">
        <f>ROUND((I43*2),2)</f>
        <v>283.4</v>
      </c>
      <c r="N44" s="1">
        <v>1952</v>
      </c>
    </row>
    <row r="45" spans="1:14" ht="13.5">
      <c r="A45" s="47"/>
      <c r="B45" s="47"/>
      <c r="C45" s="47"/>
      <c r="F45" s="1"/>
      <c r="N45" s="1">
        <v>1953</v>
      </c>
    </row>
    <row r="46" spans="1:14" ht="15.75">
      <c r="A46" s="115" t="s">
        <v>46</v>
      </c>
      <c r="B46" s="115"/>
      <c r="C46" s="115"/>
      <c r="F46" s="1"/>
      <c r="N46" s="1">
        <v>1954</v>
      </c>
    </row>
    <row r="47" spans="1:14" ht="13.5">
      <c r="A47" s="47"/>
      <c r="B47" s="47"/>
      <c r="C47" s="47"/>
      <c r="F47" s="1"/>
      <c r="N47" s="1">
        <v>1955</v>
      </c>
    </row>
    <row r="48" spans="1:14" ht="13.5">
      <c r="A48" s="58" t="s">
        <v>47</v>
      </c>
      <c r="B48" s="47"/>
      <c r="C48" s="47"/>
      <c r="F48" s="1"/>
      <c r="N48" s="1">
        <v>1956</v>
      </c>
    </row>
    <row r="49" spans="1:14" ht="14.25" thickBot="1">
      <c r="A49" s="59"/>
      <c r="B49" s="47"/>
      <c r="C49" s="47"/>
      <c r="F49" s="1"/>
      <c r="N49" s="1">
        <v>1966</v>
      </c>
    </row>
    <row r="50" spans="1:14" ht="14.25" thickBot="1">
      <c r="A50" s="48"/>
      <c r="B50" s="60" t="s">
        <v>41</v>
      </c>
      <c r="C50" s="61" t="s">
        <v>42</v>
      </c>
      <c r="F50" s="1"/>
      <c r="N50" s="1">
        <v>1967</v>
      </c>
    </row>
    <row r="51" spans="1:14" ht="13.5">
      <c r="A51" s="50"/>
      <c r="B51" s="51" t="s">
        <v>48</v>
      </c>
      <c r="C51" s="52">
        <f>+C19</f>
        <v>141.7</v>
      </c>
      <c r="F51" s="1"/>
      <c r="N51" s="1">
        <v>1968</v>
      </c>
    </row>
    <row r="52" spans="1:14" ht="13.5">
      <c r="A52" s="53" t="s">
        <v>49</v>
      </c>
      <c r="B52" s="54" t="s">
        <v>23</v>
      </c>
      <c r="C52" s="62">
        <f>+C20</f>
        <v>15</v>
      </c>
      <c r="F52" s="1"/>
      <c r="N52" s="1">
        <v>1969</v>
      </c>
    </row>
    <row r="53" spans="1:14" ht="13.5">
      <c r="A53" s="53" t="s">
        <v>45</v>
      </c>
      <c r="B53" s="54" t="s">
        <v>50</v>
      </c>
      <c r="C53" s="55">
        <f>ROUND((C51*C52),2)</f>
        <v>2125.5</v>
      </c>
      <c r="F53" s="1"/>
      <c r="N53" s="1">
        <v>1970</v>
      </c>
    </row>
    <row r="54" spans="1:14" ht="13.5">
      <c r="A54" s="53" t="s">
        <v>51</v>
      </c>
      <c r="B54" s="54" t="s">
        <v>52</v>
      </c>
      <c r="C54" s="62">
        <v>365</v>
      </c>
      <c r="F54" s="1"/>
      <c r="G54" s="1"/>
      <c r="N54" s="1">
        <v>1971</v>
      </c>
    </row>
    <row r="55" spans="1:14" ht="13.5">
      <c r="A55" s="53" t="s">
        <v>45</v>
      </c>
      <c r="B55" s="54" t="s">
        <v>53</v>
      </c>
      <c r="C55" s="62">
        <f>ROUND((C53/C54),2)</f>
        <v>5.82</v>
      </c>
      <c r="F55" s="1"/>
      <c r="N55" s="1">
        <v>1972</v>
      </c>
    </row>
    <row r="56" spans="1:14" ht="13.5">
      <c r="A56" s="53" t="s">
        <v>49</v>
      </c>
      <c r="B56" s="54" t="s">
        <v>142</v>
      </c>
      <c r="C56" s="63">
        <f>(I18-G56)+1</f>
        <v>365</v>
      </c>
      <c r="F56" s="1"/>
      <c r="G56" s="107" t="str">
        <f>IF(E16=E18,I16,C29)</f>
        <v>1Enero2021</v>
      </c>
      <c r="N56" s="1">
        <v>1973</v>
      </c>
    </row>
    <row r="57" spans="1:14" ht="13.5">
      <c r="A57" s="53" t="s">
        <v>45</v>
      </c>
      <c r="B57" s="64" t="s">
        <v>47</v>
      </c>
      <c r="C57" s="56">
        <f>ROUND((C55*C56),2)</f>
        <v>2124.3</v>
      </c>
      <c r="F57" s="1"/>
      <c r="N57" s="1">
        <v>1974</v>
      </c>
    </row>
    <row r="58" spans="1:14" ht="13.5">
      <c r="A58" s="47"/>
      <c r="B58" s="47"/>
      <c r="C58" s="47"/>
      <c r="F58" s="1"/>
      <c r="N58" s="1">
        <v>1975</v>
      </c>
    </row>
    <row r="59" spans="1:14" ht="14.25" thickBot="1">
      <c r="A59" s="58" t="s">
        <v>54</v>
      </c>
      <c r="B59" s="47"/>
      <c r="C59" s="57"/>
      <c r="F59" s="1"/>
      <c r="N59" s="1">
        <v>1976</v>
      </c>
    </row>
    <row r="60" spans="1:14" ht="14.25" thickBot="1">
      <c r="A60" s="48"/>
      <c r="B60" s="60" t="s">
        <v>41</v>
      </c>
      <c r="C60" s="49" t="s">
        <v>42</v>
      </c>
      <c r="F60" s="1"/>
      <c r="N60" s="1">
        <v>1977</v>
      </c>
    </row>
    <row r="61" spans="1:14" ht="13.5">
      <c r="A61" s="50"/>
      <c r="B61" s="51" t="s">
        <v>55</v>
      </c>
      <c r="C61" s="65">
        <f>+C14</f>
        <v>141.7</v>
      </c>
      <c r="F61" s="1"/>
      <c r="N61" s="1">
        <v>1978</v>
      </c>
    </row>
    <row r="62" spans="1:14" ht="13.5">
      <c r="A62" s="53" t="s">
        <v>49</v>
      </c>
      <c r="B62" s="54" t="s">
        <v>56</v>
      </c>
      <c r="C62" s="66">
        <v>30</v>
      </c>
      <c r="F62" s="1"/>
      <c r="N62" s="1">
        <v>1979</v>
      </c>
    </row>
    <row r="63" spans="1:14" ht="13.5">
      <c r="A63" s="53" t="s">
        <v>45</v>
      </c>
      <c r="B63" s="64" t="s">
        <v>58</v>
      </c>
      <c r="C63" s="67">
        <f>ROUND((C61*C62),2)</f>
        <v>4251</v>
      </c>
      <c r="F63" s="1"/>
      <c r="N63" s="1">
        <v>1980</v>
      </c>
    </row>
    <row r="64" spans="1:14" ht="13.5">
      <c r="A64" s="47"/>
      <c r="B64" s="47"/>
      <c r="C64" s="47"/>
      <c r="F64" s="1"/>
      <c r="N64" s="1">
        <v>1981</v>
      </c>
    </row>
    <row r="65" spans="1:14" ht="14.25" thickBot="1">
      <c r="A65" s="58" t="s">
        <v>57</v>
      </c>
      <c r="B65" s="47"/>
      <c r="C65" s="57"/>
      <c r="F65" s="1"/>
      <c r="N65" s="1">
        <v>1982</v>
      </c>
    </row>
    <row r="66" spans="1:14" ht="14.25" thickBot="1">
      <c r="A66" s="48"/>
      <c r="B66" s="60" t="s">
        <v>41</v>
      </c>
      <c r="C66" s="49" t="s">
        <v>42</v>
      </c>
      <c r="F66" s="1"/>
      <c r="N66" s="1">
        <v>1983</v>
      </c>
    </row>
    <row r="67" spans="1:14" ht="13.5">
      <c r="A67" s="50"/>
      <c r="B67" s="51" t="s">
        <v>47</v>
      </c>
      <c r="C67" s="65">
        <f>+C57</f>
        <v>2124.3</v>
      </c>
      <c r="F67" s="1"/>
      <c r="N67" s="1">
        <v>1984</v>
      </c>
    </row>
    <row r="68" spans="1:14" ht="13.5">
      <c r="A68" s="53" t="s">
        <v>43</v>
      </c>
      <c r="B68" s="54" t="s">
        <v>54</v>
      </c>
      <c r="C68" s="68">
        <f>IF(C63&gt;C67,C67,C63)</f>
        <v>2124.3</v>
      </c>
      <c r="F68" s="1"/>
      <c r="N68" s="1">
        <v>1985</v>
      </c>
    </row>
    <row r="69" spans="1:14" ht="13.5">
      <c r="A69" s="53" t="s">
        <v>45</v>
      </c>
      <c r="B69" s="64" t="s">
        <v>57</v>
      </c>
      <c r="C69" s="67">
        <f>C67-C68</f>
        <v>0</v>
      </c>
      <c r="F69" s="1"/>
      <c r="N69" s="1">
        <v>1986</v>
      </c>
    </row>
    <row r="70" spans="1:14" ht="13.5">
      <c r="A70" s="47"/>
      <c r="B70" s="47"/>
      <c r="C70" s="47"/>
      <c r="F70" s="1"/>
      <c r="N70" s="1">
        <v>1987</v>
      </c>
    </row>
    <row r="71" spans="1:14" ht="14.25" thickBot="1">
      <c r="A71" s="58" t="s">
        <v>59</v>
      </c>
      <c r="B71" s="47"/>
      <c r="C71" s="47"/>
      <c r="F71" s="1"/>
      <c r="N71" s="1">
        <v>1988</v>
      </c>
    </row>
    <row r="72" spans="1:14" ht="14.25" thickBot="1">
      <c r="A72" s="48"/>
      <c r="B72" s="60" t="s">
        <v>41</v>
      </c>
      <c r="C72" s="49" t="s">
        <v>42</v>
      </c>
      <c r="F72" s="1"/>
      <c r="N72" s="1">
        <v>1989</v>
      </c>
    </row>
    <row r="73" spans="1:14" ht="13.5">
      <c r="A73" s="50"/>
      <c r="B73" s="51" t="s">
        <v>91</v>
      </c>
      <c r="C73" s="69">
        <f>+C21</f>
        <v>6</v>
      </c>
      <c r="F73" s="1"/>
      <c r="N73" s="1">
        <v>1990</v>
      </c>
    </row>
    <row r="74" spans="1:14" ht="13.5">
      <c r="A74" s="53" t="s">
        <v>51</v>
      </c>
      <c r="B74" s="54" t="s">
        <v>60</v>
      </c>
      <c r="C74" s="66">
        <v>365</v>
      </c>
      <c r="N74" s="1">
        <v>1991</v>
      </c>
    </row>
    <row r="75" spans="1:14" ht="13.5">
      <c r="A75" s="70" t="s">
        <v>45</v>
      </c>
      <c r="B75" s="54" t="s">
        <v>61</v>
      </c>
      <c r="C75" s="66">
        <f>ROUND((C73/C74),4)</f>
        <v>0.0164</v>
      </c>
      <c r="H75" s="26"/>
      <c r="N75" s="1">
        <v>1992</v>
      </c>
    </row>
    <row r="76" spans="1:14" ht="13.5">
      <c r="A76" s="53" t="s">
        <v>49</v>
      </c>
      <c r="B76" s="54" t="s">
        <v>62</v>
      </c>
      <c r="C76" s="66">
        <f>+J40</f>
        <v>365</v>
      </c>
      <c r="H76" s="27"/>
      <c r="N76" s="1">
        <v>1993</v>
      </c>
    </row>
    <row r="77" spans="1:14" ht="13.5">
      <c r="A77" s="53" t="s">
        <v>45</v>
      </c>
      <c r="B77" s="54" t="s">
        <v>63</v>
      </c>
      <c r="C77" s="71">
        <f>ROUND((C75*C76),2)</f>
        <v>5.99</v>
      </c>
      <c r="H77" s="28"/>
      <c r="N77" s="1">
        <v>1994</v>
      </c>
    </row>
    <row r="78" spans="1:14" ht="13.5">
      <c r="A78" s="53" t="s">
        <v>64</v>
      </c>
      <c r="B78" s="54" t="s">
        <v>65</v>
      </c>
      <c r="C78" s="66">
        <f>+C22</f>
        <v>0</v>
      </c>
      <c r="N78" s="1">
        <v>1995</v>
      </c>
    </row>
    <row r="79" spans="1:14" ht="13.5">
      <c r="A79" s="53" t="s">
        <v>45</v>
      </c>
      <c r="B79" s="64" t="s">
        <v>59</v>
      </c>
      <c r="C79" s="72">
        <f>+C77+C78</f>
        <v>5.99</v>
      </c>
      <c r="N79" s="1">
        <v>1996</v>
      </c>
    </row>
    <row r="80" spans="1:3" ht="13.5" customHeight="1">
      <c r="A80" s="47"/>
      <c r="B80" s="47"/>
      <c r="C80" s="47"/>
    </row>
    <row r="81" spans="1:14" ht="14.25" thickBot="1">
      <c r="A81" s="58" t="s">
        <v>66</v>
      </c>
      <c r="B81" s="47"/>
      <c r="C81" s="57"/>
      <c r="N81" s="1">
        <v>1997</v>
      </c>
    </row>
    <row r="82" spans="1:14" ht="13.5" thickBot="1">
      <c r="A82" s="73"/>
      <c r="B82" s="60" t="s">
        <v>41</v>
      </c>
      <c r="C82" s="49" t="s">
        <v>42</v>
      </c>
      <c r="N82" s="1">
        <v>1998</v>
      </c>
    </row>
    <row r="83" spans="1:14" ht="13.5">
      <c r="A83" s="50"/>
      <c r="B83" s="51" t="s">
        <v>59</v>
      </c>
      <c r="C83" s="74">
        <f>+C79</f>
        <v>5.99</v>
      </c>
      <c r="N83" s="1">
        <v>1999</v>
      </c>
    </row>
    <row r="84" spans="1:14" ht="10.5" customHeight="1">
      <c r="A84" s="53" t="s">
        <v>49</v>
      </c>
      <c r="B84" s="54" t="s">
        <v>48</v>
      </c>
      <c r="C84" s="75">
        <f>+C19</f>
        <v>141.7</v>
      </c>
      <c r="N84" s="1">
        <v>2000</v>
      </c>
    </row>
    <row r="85" spans="1:14" ht="10.5" customHeight="1">
      <c r="A85" s="53" t="s">
        <v>45</v>
      </c>
      <c r="B85" s="64" t="s">
        <v>66</v>
      </c>
      <c r="C85" s="67">
        <f>ROUND((C83*C84),2)</f>
        <v>848.78</v>
      </c>
      <c r="N85" s="1">
        <v>2001</v>
      </c>
    </row>
    <row r="86" spans="1:14" ht="13.5">
      <c r="A86" s="47"/>
      <c r="B86" s="47"/>
      <c r="C86" s="47"/>
      <c r="N86" s="1">
        <v>2002</v>
      </c>
    </row>
    <row r="87" spans="1:14" ht="13.5">
      <c r="A87" s="58" t="s">
        <v>67</v>
      </c>
      <c r="B87" s="47"/>
      <c r="C87" s="57"/>
      <c r="N87" s="1">
        <v>2003</v>
      </c>
    </row>
    <row r="88" spans="1:14" ht="14.25" thickBot="1">
      <c r="A88" s="59"/>
      <c r="B88" s="47"/>
      <c r="C88" s="57"/>
      <c r="N88" s="1">
        <v>2004</v>
      </c>
    </row>
    <row r="89" spans="1:14" ht="13.5" thickBot="1">
      <c r="A89" s="73"/>
      <c r="B89" s="60" t="s">
        <v>41</v>
      </c>
      <c r="C89" s="49" t="s">
        <v>42</v>
      </c>
      <c r="N89" s="1">
        <v>2005</v>
      </c>
    </row>
    <row r="90" spans="1:14" ht="13.5">
      <c r="A90" s="50"/>
      <c r="B90" s="51" t="s">
        <v>66</v>
      </c>
      <c r="C90" s="65">
        <f>+C85</f>
        <v>848.78</v>
      </c>
      <c r="N90" s="1">
        <v>2006</v>
      </c>
    </row>
    <row r="91" spans="1:14" ht="10.5" customHeight="1">
      <c r="A91" s="53" t="s">
        <v>49</v>
      </c>
      <c r="B91" s="54" t="s">
        <v>68</v>
      </c>
      <c r="C91" s="76">
        <f>+C23</f>
        <v>0.25</v>
      </c>
      <c r="N91" s="1">
        <v>2007</v>
      </c>
    </row>
    <row r="92" spans="1:14" ht="13.5">
      <c r="A92" s="53" t="s">
        <v>45</v>
      </c>
      <c r="B92" s="64" t="s">
        <v>67</v>
      </c>
      <c r="C92" s="67">
        <f>ROUND((C90*C91),2)</f>
        <v>212.2</v>
      </c>
      <c r="N92" s="1">
        <v>2008</v>
      </c>
    </row>
    <row r="93" spans="1:14" ht="13.5">
      <c r="A93" s="47"/>
      <c r="B93" s="47"/>
      <c r="C93" s="47"/>
      <c r="N93" s="1">
        <v>2009</v>
      </c>
    </row>
    <row r="94" spans="1:14" ht="14.25" thickBot="1">
      <c r="A94" s="58" t="s">
        <v>69</v>
      </c>
      <c r="B94" s="47"/>
      <c r="C94" s="57"/>
      <c r="N94" s="1">
        <v>2010</v>
      </c>
    </row>
    <row r="95" spans="1:14" ht="13.5" thickBot="1">
      <c r="A95" s="73"/>
      <c r="B95" s="60" t="s">
        <v>41</v>
      </c>
      <c r="C95" s="49" t="s">
        <v>42</v>
      </c>
      <c r="N95" s="1">
        <v>2011</v>
      </c>
    </row>
    <row r="96" spans="1:14" ht="13.5">
      <c r="A96" s="50"/>
      <c r="B96" s="51" t="s">
        <v>55</v>
      </c>
      <c r="C96" s="65">
        <f>+C14</f>
        <v>141.7</v>
      </c>
      <c r="N96" s="1">
        <v>2012</v>
      </c>
    </row>
    <row r="97" spans="1:14" ht="10.5" customHeight="1">
      <c r="A97" s="53" t="s">
        <v>70</v>
      </c>
      <c r="B97" s="54" t="s">
        <v>56</v>
      </c>
      <c r="C97" s="66">
        <v>15</v>
      </c>
      <c r="N97" s="1">
        <v>2013</v>
      </c>
    </row>
    <row r="98" spans="1:14" ht="12.75" customHeight="1">
      <c r="A98" s="53" t="s">
        <v>71</v>
      </c>
      <c r="B98" s="64" t="s">
        <v>90</v>
      </c>
      <c r="C98" s="67">
        <f>ROUND((C96*C97),2)</f>
        <v>2125.5</v>
      </c>
      <c r="N98" s="1">
        <v>2014</v>
      </c>
    </row>
    <row r="99" spans="1:14" ht="13.5">
      <c r="A99" s="47"/>
      <c r="B99" s="47"/>
      <c r="C99" s="47"/>
      <c r="N99" s="1">
        <v>2015</v>
      </c>
    </row>
    <row r="100" spans="1:14" ht="14.25" thickBot="1">
      <c r="A100" s="58" t="s">
        <v>72</v>
      </c>
      <c r="B100" s="47"/>
      <c r="C100" s="57"/>
      <c r="N100" s="1">
        <v>2016</v>
      </c>
    </row>
    <row r="101" spans="1:14" ht="13.5" thickBot="1">
      <c r="A101" s="73"/>
      <c r="B101" s="60" t="s">
        <v>41</v>
      </c>
      <c r="C101" s="49" t="s">
        <v>42</v>
      </c>
      <c r="N101" s="1">
        <v>2017</v>
      </c>
    </row>
    <row r="102" spans="1:14" ht="13.5">
      <c r="A102" s="50"/>
      <c r="B102" s="51" t="s">
        <v>67</v>
      </c>
      <c r="C102" s="65">
        <f>+C92</f>
        <v>212.2</v>
      </c>
      <c r="N102" s="1">
        <v>2018</v>
      </c>
    </row>
    <row r="103" spans="1:14" ht="12" customHeight="1">
      <c r="A103" s="53" t="s">
        <v>43</v>
      </c>
      <c r="B103" s="54" t="s">
        <v>69</v>
      </c>
      <c r="C103" s="68">
        <f>IF(C98&gt;C102,C102,C98)</f>
        <v>212.2</v>
      </c>
      <c r="N103" s="1">
        <v>2019</v>
      </c>
    </row>
    <row r="104" spans="1:14" ht="16.5" customHeight="1">
      <c r="A104" s="53" t="s">
        <v>45</v>
      </c>
      <c r="B104" s="64" t="s">
        <v>72</v>
      </c>
      <c r="C104" s="67">
        <f>C102-C103</f>
        <v>0</v>
      </c>
      <c r="H104" s="29"/>
      <c r="N104" s="1">
        <v>2020</v>
      </c>
    </row>
    <row r="105" spans="1:14" ht="13.5">
      <c r="A105" s="77"/>
      <c r="B105" s="77"/>
      <c r="C105" s="77"/>
      <c r="E105" s="14"/>
      <c r="N105" s="1">
        <v>2021</v>
      </c>
    </row>
    <row r="106" spans="1:3" ht="13.5">
      <c r="A106" s="78"/>
      <c r="B106" s="79"/>
      <c r="C106" s="79"/>
    </row>
    <row r="107" spans="1:3" ht="14.25" thickBot="1">
      <c r="A107" s="80" t="s">
        <v>97</v>
      </c>
      <c r="B107" s="79"/>
      <c r="C107" s="79"/>
    </row>
    <row r="108" spans="1:3" ht="13.5" thickBot="1">
      <c r="A108" s="73"/>
      <c r="B108" s="60" t="s">
        <v>41</v>
      </c>
      <c r="C108" s="49" t="s">
        <v>42</v>
      </c>
    </row>
    <row r="109" spans="1:3" ht="13.5">
      <c r="A109" s="50"/>
      <c r="B109" s="51" t="s">
        <v>92</v>
      </c>
      <c r="C109" s="65">
        <f>(IF(C19&gt;I44,I44,C19))</f>
        <v>141.7</v>
      </c>
    </row>
    <row r="110" spans="1:7" ht="13.5">
      <c r="A110" s="53" t="s">
        <v>49</v>
      </c>
      <c r="B110" s="54" t="s">
        <v>94</v>
      </c>
      <c r="C110" s="66">
        <f>IF(C109=0,0,K29)</f>
        <v>0</v>
      </c>
      <c r="G110" s="2"/>
    </row>
    <row r="111" spans="1:3" ht="13.5">
      <c r="A111" s="53" t="s">
        <v>45</v>
      </c>
      <c r="B111" s="54" t="s">
        <v>95</v>
      </c>
      <c r="C111" s="68">
        <f>ROUND((C109*C110),2)</f>
        <v>0</v>
      </c>
    </row>
    <row r="112" spans="1:3" ht="26.25" customHeight="1">
      <c r="A112" s="53" t="s">
        <v>49</v>
      </c>
      <c r="B112" s="54" t="s">
        <v>96</v>
      </c>
      <c r="C112" s="47">
        <v>12</v>
      </c>
    </row>
    <row r="113" spans="1:3" ht="15" customHeight="1">
      <c r="A113" s="53" t="s">
        <v>45</v>
      </c>
      <c r="B113" s="64" t="s">
        <v>97</v>
      </c>
      <c r="C113" s="67">
        <f>ROUND((C111*C112),2)</f>
        <v>0</v>
      </c>
    </row>
    <row r="114" spans="1:3" ht="13.5">
      <c r="A114" s="77"/>
      <c r="B114" s="77"/>
      <c r="C114" s="77"/>
    </row>
    <row r="115" spans="1:3" ht="13.5">
      <c r="A115" s="78"/>
      <c r="B115" s="79"/>
      <c r="C115" s="79"/>
    </row>
    <row r="116" spans="1:3" ht="14.25" thickBot="1">
      <c r="A116" s="80" t="s">
        <v>101</v>
      </c>
      <c r="B116" s="79"/>
      <c r="C116" s="79"/>
    </row>
    <row r="117" spans="1:3" ht="13.5" thickBot="1">
      <c r="A117" s="73"/>
      <c r="B117" s="60" t="s">
        <v>41</v>
      </c>
      <c r="C117" s="49" t="s">
        <v>42</v>
      </c>
    </row>
    <row r="118" spans="1:3" ht="13.5">
      <c r="A118" s="50"/>
      <c r="B118" s="51" t="s">
        <v>96</v>
      </c>
      <c r="C118" s="81">
        <v>12</v>
      </c>
    </row>
    <row r="119" spans="1:3" ht="13.5">
      <c r="A119" s="53" t="s">
        <v>51</v>
      </c>
      <c r="B119" s="54" t="s">
        <v>98</v>
      </c>
      <c r="C119" s="66">
        <v>365</v>
      </c>
    </row>
    <row r="120" spans="1:3" ht="13.5">
      <c r="A120" s="53" t="s">
        <v>45</v>
      </c>
      <c r="B120" s="54" t="s">
        <v>99</v>
      </c>
      <c r="C120" s="82">
        <f>IF(C109=0,0,(C118/C119))</f>
        <v>0.03287671232876712</v>
      </c>
    </row>
    <row r="121" spans="1:3" ht="13.5">
      <c r="A121" s="53" t="s">
        <v>49</v>
      </c>
      <c r="B121" s="54" t="s">
        <v>100</v>
      </c>
      <c r="C121" s="66">
        <f>IF(C109=0,0,C76)</f>
        <v>365</v>
      </c>
    </row>
    <row r="122" spans="1:3" ht="13.5">
      <c r="A122" s="53" t="s">
        <v>45</v>
      </c>
      <c r="B122" s="54" t="s">
        <v>95</v>
      </c>
      <c r="C122" s="83">
        <f>C120*C121</f>
        <v>11.999999999999998</v>
      </c>
    </row>
    <row r="123" spans="1:7" ht="13.5">
      <c r="A123" s="53" t="s">
        <v>49</v>
      </c>
      <c r="B123" s="54" t="s">
        <v>92</v>
      </c>
      <c r="C123" s="68">
        <f>+C109</f>
        <v>141.7</v>
      </c>
      <c r="G123" s="35"/>
    </row>
    <row r="124" spans="1:7" ht="27">
      <c r="A124" s="53" t="s">
        <v>45</v>
      </c>
      <c r="B124" s="64" t="s">
        <v>101</v>
      </c>
      <c r="C124" s="67">
        <f>ROUND((C122*C123),2)</f>
        <v>1700.4</v>
      </c>
      <c r="E124" s="13"/>
      <c r="G124" s="35"/>
    </row>
    <row r="125" spans="1:7" ht="13.5">
      <c r="A125" s="47"/>
      <c r="B125" s="47"/>
      <c r="C125" s="47"/>
      <c r="G125" s="4"/>
    </row>
    <row r="126" spans="1:5" ht="13.5">
      <c r="A126" s="58" t="s">
        <v>102</v>
      </c>
      <c r="B126" s="47"/>
      <c r="C126" s="47"/>
      <c r="E126" s="30"/>
    </row>
    <row r="127" spans="1:3" ht="14.25" thickBot="1">
      <c r="A127" s="59"/>
      <c r="B127" s="47"/>
      <c r="C127" s="47"/>
    </row>
    <row r="128" spans="1:3" ht="13.5" thickBot="1">
      <c r="A128" s="73"/>
      <c r="B128" s="60" t="s">
        <v>41</v>
      </c>
      <c r="C128" s="49" t="s">
        <v>42</v>
      </c>
    </row>
    <row r="129" spans="1:3" ht="13.5">
      <c r="A129" s="50"/>
      <c r="B129" s="51" t="str">
        <f>+B113</f>
        <v>Monto de prima de antigüedad a pagar por años completos de servicios</v>
      </c>
      <c r="C129" s="65">
        <f>+C113</f>
        <v>0</v>
      </c>
    </row>
    <row r="130" spans="1:3" ht="27">
      <c r="A130" s="53" t="s">
        <v>64</v>
      </c>
      <c r="B130" s="54" t="str">
        <f>+B124</f>
        <v>Parte proporcional de prima de antigüedad a pagar por el año de la separación</v>
      </c>
      <c r="C130" s="68">
        <f>+C124</f>
        <v>1700.4</v>
      </c>
    </row>
    <row r="131" spans="1:3" ht="13.5">
      <c r="A131" s="53" t="s">
        <v>45</v>
      </c>
      <c r="B131" s="64" t="s">
        <v>102</v>
      </c>
      <c r="C131" s="67">
        <f>+C129+C130</f>
        <v>1700.4</v>
      </c>
    </row>
    <row r="132" spans="1:3" ht="13.5">
      <c r="A132" s="47"/>
      <c r="B132" s="47"/>
      <c r="C132" s="47"/>
    </row>
    <row r="133" spans="1:3" ht="13.5">
      <c r="A133" s="47"/>
      <c r="B133" s="47"/>
      <c r="C133" s="47"/>
    </row>
    <row r="134" spans="1:3" ht="14.25" thickBot="1">
      <c r="A134" s="58" t="s">
        <v>109</v>
      </c>
      <c r="B134" s="47"/>
      <c r="C134" s="47"/>
    </row>
    <row r="135" spans="1:3" ht="13.5" thickBot="1">
      <c r="A135" s="73"/>
      <c r="B135" s="60" t="s">
        <v>41</v>
      </c>
      <c r="C135" s="49" t="s">
        <v>42</v>
      </c>
    </row>
    <row r="136" spans="1:3" ht="13.5">
      <c r="A136" s="50"/>
      <c r="B136" s="51" t="s">
        <v>19</v>
      </c>
      <c r="C136" s="65">
        <f>+C19</f>
        <v>141.7</v>
      </c>
    </row>
    <row r="137" spans="1:3" ht="13.5">
      <c r="A137" s="53" t="s">
        <v>64</v>
      </c>
      <c r="B137" s="54" t="s">
        <v>105</v>
      </c>
      <c r="C137" s="68">
        <f>+C55</f>
        <v>5.82</v>
      </c>
    </row>
    <row r="138" spans="1:3" ht="13.5">
      <c r="A138" s="53" t="s">
        <v>64</v>
      </c>
      <c r="B138" s="54" t="s">
        <v>106</v>
      </c>
      <c r="C138" s="68">
        <f>ROUND(((C21*C19*C23)/365),2)</f>
        <v>0.58</v>
      </c>
    </row>
    <row r="139" spans="1:3" ht="13.5">
      <c r="A139" s="53" t="s">
        <v>64</v>
      </c>
      <c r="B139" s="54" t="s">
        <v>107</v>
      </c>
      <c r="C139" s="68">
        <f>IF(C30="Si",(ROUND((C19*C31),2)),0)</f>
        <v>0</v>
      </c>
    </row>
    <row r="140" spans="1:3" ht="13.5">
      <c r="A140" s="53" t="s">
        <v>64</v>
      </c>
      <c r="B140" s="54" t="s">
        <v>108</v>
      </c>
      <c r="C140" s="68">
        <f>+C32</f>
        <v>0</v>
      </c>
    </row>
    <row r="141" spans="1:3" ht="13.5">
      <c r="A141" s="53" t="s">
        <v>45</v>
      </c>
      <c r="B141" s="64" t="s">
        <v>109</v>
      </c>
      <c r="C141" s="67">
        <f>SUM(C136:C140)</f>
        <v>148.1</v>
      </c>
    </row>
    <row r="142" spans="1:3" ht="13.5">
      <c r="A142" s="47"/>
      <c r="B142" s="47"/>
      <c r="C142" s="47"/>
    </row>
    <row r="143" spans="1:3" ht="14.25" thickBot="1">
      <c r="A143" s="58" t="s">
        <v>112</v>
      </c>
      <c r="B143" s="47"/>
      <c r="C143" s="47"/>
    </row>
    <row r="144" spans="1:3" ht="13.5" thickBot="1">
      <c r="A144" s="73"/>
      <c r="B144" s="60" t="s">
        <v>41</v>
      </c>
      <c r="C144" s="49" t="s">
        <v>42</v>
      </c>
    </row>
    <row r="145" spans="1:3" ht="13.5">
      <c r="A145" s="50"/>
      <c r="B145" s="51" t="s">
        <v>109</v>
      </c>
      <c r="C145" s="65">
        <f>+C141</f>
        <v>148.1</v>
      </c>
    </row>
    <row r="146" spans="1:3" ht="13.5">
      <c r="A146" s="53" t="s">
        <v>49</v>
      </c>
      <c r="B146" s="54" t="s">
        <v>111</v>
      </c>
      <c r="C146" s="84">
        <v>90</v>
      </c>
    </row>
    <row r="147" spans="1:3" ht="13.5">
      <c r="A147" s="53" t="s">
        <v>45</v>
      </c>
      <c r="B147" s="64" t="s">
        <v>112</v>
      </c>
      <c r="C147" s="67">
        <f>ROUND((C145*C146),2)</f>
        <v>13329</v>
      </c>
    </row>
    <row r="148" spans="1:3" ht="13.5">
      <c r="A148" s="47"/>
      <c r="B148" s="47"/>
      <c r="C148" s="47"/>
    </row>
    <row r="149" spans="1:3" ht="13.5">
      <c r="A149" s="47"/>
      <c r="B149" s="47"/>
      <c r="C149" s="47"/>
    </row>
    <row r="150" spans="1:3" ht="14.25" thickBot="1">
      <c r="A150" s="58" t="s">
        <v>117</v>
      </c>
      <c r="B150" s="47"/>
      <c r="C150" s="47"/>
    </row>
    <row r="151" spans="1:3" ht="13.5" thickBot="1">
      <c r="A151" s="73"/>
      <c r="B151" s="60" t="s">
        <v>41</v>
      </c>
      <c r="C151" s="49" t="s">
        <v>42</v>
      </c>
    </row>
    <row r="152" spans="1:3" ht="13.5">
      <c r="A152" s="50"/>
      <c r="B152" s="51" t="s">
        <v>109</v>
      </c>
      <c r="C152" s="65">
        <f>IF(C33="Si",C141,0)</f>
        <v>0</v>
      </c>
    </row>
    <row r="153" spans="1:3" ht="13.5">
      <c r="A153" s="53" t="s">
        <v>49</v>
      </c>
      <c r="B153" s="54" t="s">
        <v>111</v>
      </c>
      <c r="C153" s="68">
        <v>20</v>
      </c>
    </row>
    <row r="154" spans="1:3" ht="13.5">
      <c r="A154" s="53" t="s">
        <v>45</v>
      </c>
      <c r="B154" s="54" t="s">
        <v>116</v>
      </c>
      <c r="C154" s="68">
        <f>ROUND((C152*C153),2)</f>
        <v>0</v>
      </c>
    </row>
    <row r="155" spans="1:3" ht="13.5">
      <c r="A155" s="53" t="s">
        <v>49</v>
      </c>
      <c r="B155" s="54" t="s">
        <v>94</v>
      </c>
      <c r="C155" s="84">
        <f>+K29</f>
        <v>0</v>
      </c>
    </row>
    <row r="156" spans="1:3" ht="13.5">
      <c r="A156" s="53" t="s">
        <v>45</v>
      </c>
      <c r="B156" s="64" t="s">
        <v>117</v>
      </c>
      <c r="C156" s="67">
        <f>ROUND((C154*C155),2)</f>
        <v>0</v>
      </c>
    </row>
    <row r="157" spans="1:3" ht="13.5">
      <c r="A157" s="47"/>
      <c r="B157" s="47"/>
      <c r="C157" s="47"/>
    </row>
    <row r="158" spans="1:3" ht="13.5">
      <c r="A158" s="58" t="s">
        <v>118</v>
      </c>
      <c r="B158" s="47"/>
      <c r="C158" s="47"/>
    </row>
    <row r="159" spans="1:3" ht="14.25" thickBot="1">
      <c r="A159" s="59"/>
      <c r="B159" s="47"/>
      <c r="C159" s="47"/>
    </row>
    <row r="160" spans="1:3" ht="13.5" thickBot="1">
      <c r="A160" s="73"/>
      <c r="B160" s="60" t="s">
        <v>41</v>
      </c>
      <c r="C160" s="49" t="s">
        <v>42</v>
      </c>
    </row>
    <row r="161" spans="1:3" ht="13.5">
      <c r="A161" s="50"/>
      <c r="B161" s="51" t="s">
        <v>55</v>
      </c>
      <c r="C161" s="65">
        <f>IF(C109=0,0,C14)</f>
        <v>141.7</v>
      </c>
    </row>
    <row r="162" spans="1:3" ht="13.5">
      <c r="A162" s="53" t="s">
        <v>49</v>
      </c>
      <c r="B162" s="54" t="s">
        <v>56</v>
      </c>
      <c r="C162" s="66">
        <v>90</v>
      </c>
    </row>
    <row r="163" spans="1:3" ht="13.5">
      <c r="A163" s="53" t="s">
        <v>45</v>
      </c>
      <c r="B163" s="54" t="s">
        <v>95</v>
      </c>
      <c r="C163" s="68">
        <f>ROUND((C161*C162),2)</f>
        <v>12753</v>
      </c>
    </row>
    <row r="164" spans="1:3" ht="30" customHeight="1">
      <c r="A164" s="53" t="s">
        <v>49</v>
      </c>
      <c r="B164" s="54" t="s">
        <v>103</v>
      </c>
      <c r="C164" s="84">
        <f>IF(C109=0,0,((IF(C121&gt;182,1,0))+K29))</f>
        <v>1</v>
      </c>
    </row>
    <row r="165" spans="1:3" ht="13.5">
      <c r="A165" s="53" t="s">
        <v>45</v>
      </c>
      <c r="B165" s="64" t="s">
        <v>118</v>
      </c>
      <c r="C165" s="67">
        <f>ROUND((C163*C164),2)</f>
        <v>12753</v>
      </c>
    </row>
    <row r="166" spans="1:3" ht="13.5">
      <c r="A166" s="47"/>
      <c r="B166" s="47"/>
      <c r="C166" s="47"/>
    </row>
    <row r="167" spans="1:3" ht="14.25" thickBot="1">
      <c r="A167" s="58" t="s">
        <v>120</v>
      </c>
      <c r="B167" s="47"/>
      <c r="C167" s="47"/>
    </row>
    <row r="168" spans="1:3" ht="13.5" thickBot="1">
      <c r="A168" s="73"/>
      <c r="B168" s="60" t="s">
        <v>41</v>
      </c>
      <c r="C168" s="49" t="s">
        <v>42</v>
      </c>
    </row>
    <row r="169" spans="1:3" ht="13.5">
      <c r="A169" s="50"/>
      <c r="B169" s="51" t="str">
        <f>+B131</f>
        <v>Total de la prima de antigüedad a pagar</v>
      </c>
      <c r="C169" s="65">
        <f>+C131</f>
        <v>1700.4</v>
      </c>
    </row>
    <row r="170" spans="1:3" ht="10.5" customHeight="1">
      <c r="A170" s="53" t="s">
        <v>64</v>
      </c>
      <c r="B170" s="54" t="str">
        <f>+B147</f>
        <v>Indemnización de 3 meses</v>
      </c>
      <c r="C170" s="68">
        <f>+C147</f>
        <v>13329</v>
      </c>
    </row>
    <row r="171" spans="1:3" ht="12.75" customHeight="1">
      <c r="A171" s="53" t="s">
        <v>64</v>
      </c>
      <c r="B171" s="54" t="str">
        <f>+B156</f>
        <v>Indemnización de 20 días por año</v>
      </c>
      <c r="C171" s="68">
        <f>+C156</f>
        <v>0</v>
      </c>
    </row>
    <row r="172" spans="1:3" ht="13.5">
      <c r="A172" s="53" t="s">
        <v>45</v>
      </c>
      <c r="B172" s="54" t="s">
        <v>119</v>
      </c>
      <c r="C172" s="68">
        <f>+C169+C170+C171</f>
        <v>15029.4</v>
      </c>
    </row>
    <row r="173" spans="1:3" ht="13.5">
      <c r="A173" s="53" t="s">
        <v>43</v>
      </c>
      <c r="B173" s="54" t="str">
        <f>+B165</f>
        <v>Importe máximo de la exención por pagos indemnizatorios</v>
      </c>
      <c r="C173" s="68">
        <f>+C165</f>
        <v>12753</v>
      </c>
    </row>
    <row r="174" spans="1:3" ht="13.5">
      <c r="A174" s="53" t="s">
        <v>45</v>
      </c>
      <c r="B174" s="64" t="s">
        <v>120</v>
      </c>
      <c r="C174" s="67">
        <f>IF((C172-C173)&gt;0,(C172-C173),0)</f>
        <v>2276.3999999999996</v>
      </c>
    </row>
    <row r="175" spans="1:3" ht="13.5">
      <c r="A175" s="47"/>
      <c r="B175" s="47"/>
      <c r="C175" s="47"/>
    </row>
    <row r="176" spans="1:3" ht="14.25" thickBot="1">
      <c r="A176" s="85" t="s">
        <v>73</v>
      </c>
      <c r="B176" s="47"/>
      <c r="C176" s="47"/>
    </row>
    <row r="177" spans="1:3" ht="15" customHeight="1" thickBot="1">
      <c r="A177" s="73"/>
      <c r="B177" s="60" t="s">
        <v>41</v>
      </c>
      <c r="C177" s="49" t="s">
        <v>42</v>
      </c>
    </row>
    <row r="178" spans="1:3" ht="13.5">
      <c r="A178" s="50"/>
      <c r="B178" s="51" t="s">
        <v>74</v>
      </c>
      <c r="C178" s="65">
        <f>+C57</f>
        <v>2124.3</v>
      </c>
    </row>
    <row r="179" spans="1:3" ht="13.5">
      <c r="A179" s="53" t="s">
        <v>64</v>
      </c>
      <c r="B179" s="54" t="s">
        <v>75</v>
      </c>
      <c r="C179" s="68">
        <f>+C85</f>
        <v>848.78</v>
      </c>
    </row>
    <row r="180" spans="1:3" ht="13.5">
      <c r="A180" s="53" t="s">
        <v>64</v>
      </c>
      <c r="B180" s="54" t="s">
        <v>76</v>
      </c>
      <c r="C180" s="68">
        <f>+C92</f>
        <v>212.2</v>
      </c>
    </row>
    <row r="181" spans="1:3" ht="27">
      <c r="A181" s="53" t="s">
        <v>64</v>
      </c>
      <c r="B181" s="54" t="str">
        <f>+A24</f>
        <v>Salarios devengados y no pagados correspondientes al mismo mes en que renunció el colaborador</v>
      </c>
      <c r="C181" s="68">
        <f>+C24</f>
        <v>0</v>
      </c>
    </row>
    <row r="182" spans="1:4" ht="13.5">
      <c r="A182" s="53" t="s">
        <v>64</v>
      </c>
      <c r="B182" s="54" t="str">
        <f>+A25</f>
        <v>Otros ingresos gravados pendientes de pago</v>
      </c>
      <c r="C182" s="68">
        <f>+C25</f>
        <v>0</v>
      </c>
      <c r="D182" s="31"/>
    </row>
    <row r="183" spans="1:4" ht="27">
      <c r="A183" s="53" t="s">
        <v>64</v>
      </c>
      <c r="B183" s="54" t="str">
        <f>+A26</f>
        <v>Otros ingresos exentos pendientes de pago (por ejemplo fondo de ahorro)</v>
      </c>
      <c r="C183" s="68">
        <f>+C26</f>
        <v>0</v>
      </c>
      <c r="D183" s="31"/>
    </row>
    <row r="184" spans="1:3" ht="27">
      <c r="A184" s="53" t="s">
        <v>45</v>
      </c>
      <c r="B184" s="64" t="s">
        <v>73</v>
      </c>
      <c r="C184" s="67">
        <f>SUM(C178:C183)</f>
        <v>3185.2799999999997</v>
      </c>
    </row>
    <row r="185" spans="1:3" ht="24" customHeight="1">
      <c r="A185" s="47"/>
      <c r="B185" s="47"/>
      <c r="C185" s="47"/>
    </row>
    <row r="186" spans="1:3" ht="13.5" customHeight="1" thickBot="1">
      <c r="A186" s="58" t="s">
        <v>77</v>
      </c>
      <c r="B186" s="47"/>
      <c r="C186" s="47"/>
    </row>
    <row r="187" spans="1:3" ht="15" customHeight="1" thickBot="1">
      <c r="A187" s="73"/>
      <c r="B187" s="60" t="s">
        <v>41</v>
      </c>
      <c r="C187" s="49" t="s">
        <v>42</v>
      </c>
    </row>
    <row r="188" spans="1:3" ht="27">
      <c r="A188" s="50"/>
      <c r="B188" s="51" t="s">
        <v>78</v>
      </c>
      <c r="C188" s="65">
        <f>+C184</f>
        <v>3185.2799999999997</v>
      </c>
    </row>
    <row r="189" spans="1:3" ht="13.5">
      <c r="A189" s="53" t="s">
        <v>43</v>
      </c>
      <c r="B189" s="54" t="s">
        <v>54</v>
      </c>
      <c r="C189" s="68">
        <f>+C68</f>
        <v>2124.3</v>
      </c>
    </row>
    <row r="190" spans="1:3" ht="13.5">
      <c r="A190" s="53" t="s">
        <v>43</v>
      </c>
      <c r="B190" s="54" t="s">
        <v>69</v>
      </c>
      <c r="C190" s="68">
        <f>+C103</f>
        <v>212.2</v>
      </c>
    </row>
    <row r="191" spans="1:3" ht="27">
      <c r="A191" s="53" t="s">
        <v>43</v>
      </c>
      <c r="B191" s="54" t="str">
        <f>+A26</f>
        <v>Otros ingresos exentos pendientes de pago (por ejemplo fondo de ahorro)</v>
      </c>
      <c r="C191" s="68">
        <f>+C26</f>
        <v>0</v>
      </c>
    </row>
    <row r="192" spans="1:3" ht="13.5">
      <c r="A192" s="53" t="s">
        <v>45</v>
      </c>
      <c r="B192" s="54" t="s">
        <v>79</v>
      </c>
      <c r="C192" s="68">
        <f>+C188-C189-C190-C191</f>
        <v>848.7799999999995</v>
      </c>
    </row>
    <row r="193" spans="1:3" ht="27">
      <c r="A193" s="53" t="s">
        <v>64</v>
      </c>
      <c r="B193" s="54" t="s">
        <v>80</v>
      </c>
      <c r="C193" s="68">
        <f>C27</f>
        <v>0</v>
      </c>
    </row>
    <row r="194" spans="1:3" ht="13.5">
      <c r="A194" s="53" t="s">
        <v>45</v>
      </c>
      <c r="B194" s="64" t="s">
        <v>77</v>
      </c>
      <c r="C194" s="67">
        <f>+C192+C193</f>
        <v>848.7799999999995</v>
      </c>
    </row>
    <row r="195" spans="1:3" ht="13.5">
      <c r="A195" s="47"/>
      <c r="B195" s="47"/>
      <c r="C195" s="47"/>
    </row>
    <row r="196" spans="1:3" ht="14.25" thickBot="1">
      <c r="A196" s="47"/>
      <c r="B196" s="47"/>
      <c r="C196" s="47"/>
    </row>
    <row r="197" spans="1:3" ht="13.5" thickBot="1">
      <c r="A197" s="73"/>
      <c r="B197" s="60" t="s">
        <v>41</v>
      </c>
      <c r="C197" s="49" t="s">
        <v>42</v>
      </c>
    </row>
    <row r="198" spans="1:3" ht="13.5">
      <c r="A198" s="47"/>
      <c r="B198" s="51" t="str">
        <f>+B174</f>
        <v>Total de pagos indemnizatorios gravados</v>
      </c>
      <c r="C198" s="65">
        <f>+C174</f>
        <v>2276.3999999999996</v>
      </c>
    </row>
    <row r="199" spans="1:3" ht="13.5">
      <c r="A199" s="53" t="s">
        <v>124</v>
      </c>
      <c r="B199" s="54" t="s">
        <v>125</v>
      </c>
      <c r="C199" s="68">
        <f>+C34</f>
        <v>5000</v>
      </c>
    </row>
    <row r="200" spans="1:3" ht="67.5">
      <c r="A200" s="53" t="s">
        <v>45</v>
      </c>
      <c r="B200" s="64" t="s">
        <v>126</v>
      </c>
      <c r="C200" s="68" t="str">
        <f>IF(C198&gt;C199,"Si, deberá calcularse una tasa de retencion con base en dicho sueldo","No, los ingresos gravados se adicionarán a los demás para aplicar la tarifa del artículo 96")</f>
        <v>No, los ingresos gravados se adicionarán a los demás para aplicar la tarifa del artículo 96</v>
      </c>
    </row>
    <row r="201" spans="1:3" ht="10.5" customHeight="1">
      <c r="A201" s="47"/>
      <c r="B201" s="47"/>
      <c r="C201" s="47"/>
    </row>
    <row r="202" spans="1:3" ht="10.5" customHeight="1" thickBot="1">
      <c r="A202" s="47"/>
      <c r="B202" s="47"/>
      <c r="C202" s="47"/>
    </row>
    <row r="203" spans="1:3" ht="13.5" customHeight="1" thickBot="1">
      <c r="A203" s="73"/>
      <c r="B203" s="60" t="s">
        <v>41</v>
      </c>
      <c r="C203" s="49" t="s">
        <v>42</v>
      </c>
    </row>
    <row r="204" spans="1:3" ht="12.75" customHeight="1">
      <c r="A204" s="47"/>
      <c r="B204" s="51" t="s">
        <v>127</v>
      </c>
      <c r="C204" s="86">
        <f>IF(C198&gt;C199,C34,0.01)</f>
        <v>0.01</v>
      </c>
    </row>
    <row r="205" spans="1:14" ht="13.5">
      <c r="A205" s="53" t="s">
        <v>43</v>
      </c>
      <c r="B205" s="54" t="s">
        <v>82</v>
      </c>
      <c r="C205" s="68">
        <f>VLOOKUP(C204,isrnueva,1)</f>
        <v>0.01</v>
      </c>
      <c r="L205" s="32"/>
      <c r="M205" s="33"/>
      <c r="N205" s="32"/>
    </row>
    <row r="206" spans="1:3" ht="13.5">
      <c r="A206" s="53" t="s">
        <v>45</v>
      </c>
      <c r="B206" s="54" t="s">
        <v>83</v>
      </c>
      <c r="C206" s="68">
        <f>+C204-C205</f>
        <v>0</v>
      </c>
    </row>
    <row r="207" spans="1:3" ht="13.5">
      <c r="A207" s="53" t="s">
        <v>49</v>
      </c>
      <c r="B207" s="54" t="s">
        <v>84</v>
      </c>
      <c r="C207" s="87">
        <f>VLOOKUP(C204,isrnueva,4)/100</f>
        <v>0.0192</v>
      </c>
    </row>
    <row r="208" spans="1:3" ht="13.5">
      <c r="A208" s="53" t="s">
        <v>45</v>
      </c>
      <c r="B208" s="54" t="s">
        <v>85</v>
      </c>
      <c r="C208" s="68">
        <f>ROUND((C206*C207),2)</f>
        <v>0</v>
      </c>
    </row>
    <row r="209" spans="1:5" ht="13.5">
      <c r="A209" s="53" t="s">
        <v>64</v>
      </c>
      <c r="B209" s="54" t="s">
        <v>86</v>
      </c>
      <c r="C209" s="68">
        <f>VLOOKUP(C204,isrnueva,3)</f>
        <v>0</v>
      </c>
      <c r="E209" s="3"/>
    </row>
    <row r="210" spans="1:256" s="3" customFormat="1" ht="13.5">
      <c r="A210" s="53" t="s">
        <v>45</v>
      </c>
      <c r="B210" s="88" t="s">
        <v>128</v>
      </c>
      <c r="C210" s="67">
        <f>+C208+C209</f>
        <v>0</v>
      </c>
      <c r="D210" s="1"/>
      <c r="E210" s="32"/>
      <c r="I210" s="32"/>
      <c r="J210" s="33"/>
      <c r="K210" s="32"/>
      <c r="L210" s="1"/>
      <c r="M210" s="1"/>
      <c r="N210" s="1"/>
      <c r="O210" s="32"/>
      <c r="P210" s="33"/>
      <c r="Q210" s="32"/>
      <c r="R210" s="32"/>
      <c r="S210" s="33"/>
      <c r="T210" s="33"/>
      <c r="U210" s="32"/>
      <c r="V210" s="32"/>
      <c r="W210" s="33"/>
      <c r="X210" s="32"/>
      <c r="Y210" s="32"/>
      <c r="Z210" s="32"/>
      <c r="AA210" s="32"/>
      <c r="AB210" s="33"/>
      <c r="AC210" s="32"/>
      <c r="AD210" s="32"/>
      <c r="AE210" s="33"/>
      <c r="AF210" s="32"/>
      <c r="AG210" s="32"/>
      <c r="AH210" s="33"/>
      <c r="AI210" s="32"/>
      <c r="AJ210" s="32"/>
      <c r="AK210" s="33"/>
      <c r="AL210" s="32"/>
      <c r="AM210" s="32"/>
      <c r="AN210" s="33"/>
      <c r="AO210" s="32"/>
      <c r="AP210" s="32"/>
      <c r="AQ210" s="33"/>
      <c r="AR210" s="32"/>
      <c r="AS210" s="32"/>
      <c r="AT210" s="33"/>
      <c r="AU210" s="32"/>
      <c r="AV210" s="32"/>
      <c r="AW210" s="33"/>
      <c r="AX210" s="32"/>
      <c r="AY210" s="32"/>
      <c r="AZ210" s="33"/>
      <c r="BA210" s="32"/>
      <c r="BB210" s="32"/>
      <c r="BC210" s="33"/>
      <c r="BD210" s="32"/>
      <c r="BE210" s="32"/>
      <c r="BF210" s="33"/>
      <c r="BG210" s="32"/>
      <c r="BH210" s="32"/>
      <c r="BI210" s="33"/>
      <c r="BJ210" s="32"/>
      <c r="BK210" s="32"/>
      <c r="BL210" s="33"/>
      <c r="BM210" s="32"/>
      <c r="BN210" s="32"/>
      <c r="BO210" s="33"/>
      <c r="BP210" s="32"/>
      <c r="BQ210" s="32"/>
      <c r="BR210" s="33"/>
      <c r="BS210" s="32"/>
      <c r="BT210" s="32"/>
      <c r="BU210" s="33"/>
      <c r="BV210" s="32"/>
      <c r="BW210" s="32"/>
      <c r="BX210" s="33"/>
      <c r="BY210" s="32"/>
      <c r="BZ210" s="32"/>
      <c r="CA210" s="33"/>
      <c r="CB210" s="32"/>
      <c r="CC210" s="32"/>
      <c r="CD210" s="33"/>
      <c r="CE210" s="32"/>
      <c r="CF210" s="32"/>
      <c r="CG210" s="33"/>
      <c r="CH210" s="32"/>
      <c r="CI210" s="32"/>
      <c r="CJ210" s="33"/>
      <c r="CK210" s="32"/>
      <c r="CL210" s="32"/>
      <c r="CM210" s="33"/>
      <c r="CN210" s="32"/>
      <c r="CO210" s="32"/>
      <c r="CP210" s="33"/>
      <c r="CQ210" s="32"/>
      <c r="CR210" s="32"/>
      <c r="CS210" s="33"/>
      <c r="CT210" s="32"/>
      <c r="CU210" s="32"/>
      <c r="CV210" s="33"/>
      <c r="CW210" s="32"/>
      <c r="CX210" s="32"/>
      <c r="CY210" s="33"/>
      <c r="CZ210" s="32"/>
      <c r="DA210" s="32"/>
      <c r="DB210" s="33"/>
      <c r="DC210" s="32"/>
      <c r="DD210" s="32"/>
      <c r="DE210" s="33"/>
      <c r="DF210" s="32"/>
      <c r="DG210" s="32"/>
      <c r="DH210" s="33"/>
      <c r="DI210" s="32"/>
      <c r="DJ210" s="32"/>
      <c r="DK210" s="33"/>
      <c r="DL210" s="32"/>
      <c r="DM210" s="32"/>
      <c r="DN210" s="33"/>
      <c r="DO210" s="32"/>
      <c r="DP210" s="32"/>
      <c r="DQ210" s="33"/>
      <c r="DR210" s="32"/>
      <c r="DS210" s="32"/>
      <c r="DT210" s="33"/>
      <c r="DU210" s="32"/>
      <c r="DV210" s="32"/>
      <c r="DW210" s="33"/>
      <c r="DX210" s="32"/>
      <c r="DY210" s="32"/>
      <c r="DZ210" s="33"/>
      <c r="EA210" s="32"/>
      <c r="EB210" s="32"/>
      <c r="EC210" s="33"/>
      <c r="ED210" s="32"/>
      <c r="EE210" s="32"/>
      <c r="EF210" s="33"/>
      <c r="EG210" s="32"/>
      <c r="EH210" s="32"/>
      <c r="EI210" s="33"/>
      <c r="EJ210" s="32"/>
      <c r="EK210" s="32"/>
      <c r="EL210" s="33"/>
      <c r="EM210" s="32"/>
      <c r="EN210" s="32"/>
      <c r="EO210" s="33"/>
      <c r="EP210" s="32"/>
      <c r="EQ210" s="32"/>
      <c r="ER210" s="33"/>
      <c r="ES210" s="32"/>
      <c r="ET210" s="32"/>
      <c r="EU210" s="33"/>
      <c r="EV210" s="32"/>
      <c r="EW210" s="32"/>
      <c r="EX210" s="33"/>
      <c r="EY210" s="32"/>
      <c r="EZ210" s="32"/>
      <c r="FA210" s="33"/>
      <c r="FB210" s="32"/>
      <c r="FC210" s="32"/>
      <c r="FD210" s="33"/>
      <c r="FE210" s="32"/>
      <c r="FF210" s="32"/>
      <c r="FG210" s="33"/>
      <c r="FH210" s="32"/>
      <c r="FI210" s="32"/>
      <c r="FJ210" s="33"/>
      <c r="FK210" s="32"/>
      <c r="FL210" s="32"/>
      <c r="FM210" s="33"/>
      <c r="FN210" s="32"/>
      <c r="FO210" s="32"/>
      <c r="FP210" s="33"/>
      <c r="FQ210" s="32"/>
      <c r="FR210" s="32"/>
      <c r="FS210" s="33"/>
      <c r="FT210" s="32"/>
      <c r="FU210" s="32"/>
      <c r="FV210" s="33"/>
      <c r="FW210" s="32"/>
      <c r="FX210" s="32"/>
      <c r="FY210" s="33"/>
      <c r="FZ210" s="32"/>
      <c r="GA210" s="32"/>
      <c r="GB210" s="33"/>
      <c r="GC210" s="32"/>
      <c r="GD210" s="32"/>
      <c r="GE210" s="33"/>
      <c r="GF210" s="32"/>
      <c r="GG210" s="32"/>
      <c r="GH210" s="33"/>
      <c r="GI210" s="32"/>
      <c r="GJ210" s="32"/>
      <c r="GK210" s="33"/>
      <c r="GL210" s="32"/>
      <c r="GM210" s="32"/>
      <c r="GN210" s="33"/>
      <c r="GO210" s="32"/>
      <c r="GP210" s="32"/>
      <c r="GQ210" s="33"/>
      <c r="GR210" s="32"/>
      <c r="GS210" s="32"/>
      <c r="GT210" s="33"/>
      <c r="GU210" s="32"/>
      <c r="GV210" s="32"/>
      <c r="GW210" s="33"/>
      <c r="GX210" s="32"/>
      <c r="GY210" s="32"/>
      <c r="GZ210" s="33"/>
      <c r="HA210" s="32"/>
      <c r="HB210" s="32"/>
      <c r="HC210" s="33"/>
      <c r="HD210" s="32"/>
      <c r="HE210" s="32"/>
      <c r="HF210" s="33"/>
      <c r="HG210" s="32"/>
      <c r="HH210" s="32"/>
      <c r="HI210" s="33"/>
      <c r="HJ210" s="32"/>
      <c r="HK210" s="32"/>
      <c r="HL210" s="33"/>
      <c r="HM210" s="32"/>
      <c r="HN210" s="32"/>
      <c r="HO210" s="33"/>
      <c r="HP210" s="32"/>
      <c r="HQ210" s="32"/>
      <c r="HR210" s="33"/>
      <c r="HS210" s="32"/>
      <c r="HT210" s="32"/>
      <c r="HU210" s="33"/>
      <c r="HV210" s="32"/>
      <c r="HW210" s="32"/>
      <c r="HX210" s="33"/>
      <c r="HY210" s="32"/>
      <c r="HZ210" s="32"/>
      <c r="IA210" s="33"/>
      <c r="IB210" s="32"/>
      <c r="IC210" s="32"/>
      <c r="ID210" s="33"/>
      <c r="IE210" s="32"/>
      <c r="IF210" s="32"/>
      <c r="IG210" s="33"/>
      <c r="IH210" s="32"/>
      <c r="II210" s="32"/>
      <c r="IJ210" s="33"/>
      <c r="IK210" s="32"/>
      <c r="IL210" s="32"/>
      <c r="IM210" s="33"/>
      <c r="IN210" s="32"/>
      <c r="IO210" s="32"/>
      <c r="IP210" s="33"/>
      <c r="IQ210" s="32"/>
      <c r="IR210" s="32"/>
      <c r="IS210" s="33"/>
      <c r="IT210" s="32"/>
      <c r="IU210" s="32"/>
      <c r="IV210" s="33"/>
    </row>
    <row r="211" spans="1:5" ht="13.5">
      <c r="A211" s="47"/>
      <c r="B211" s="47"/>
      <c r="C211" s="47"/>
      <c r="E211" s="3"/>
    </row>
    <row r="212" spans="1:5" ht="14.25" thickBot="1">
      <c r="A212" s="47"/>
      <c r="B212" s="47"/>
      <c r="C212" s="47"/>
      <c r="D212" s="3"/>
      <c r="E212" s="3"/>
    </row>
    <row r="213" spans="1:5" ht="13.5" thickBot="1">
      <c r="A213" s="73"/>
      <c r="B213" s="60" t="s">
        <v>41</v>
      </c>
      <c r="C213" s="49" t="s">
        <v>42</v>
      </c>
      <c r="D213" s="33"/>
      <c r="E213" s="3"/>
    </row>
    <row r="214" spans="1:4" ht="13.5">
      <c r="A214" s="47"/>
      <c r="B214" s="51" t="str">
        <f>+B210</f>
        <v>ISR correspondiente al último sueldo mensual ordinario</v>
      </c>
      <c r="C214" s="65">
        <f>+C210</f>
        <v>0</v>
      </c>
      <c r="D214" s="3"/>
    </row>
    <row r="215" spans="1:4" ht="13.5">
      <c r="A215" s="53" t="s">
        <v>51</v>
      </c>
      <c r="B215" s="54" t="str">
        <f>+B204</f>
        <v>Ultimo sueldo mensual ordinario</v>
      </c>
      <c r="C215" s="68">
        <f>+C204</f>
        <v>0.01</v>
      </c>
      <c r="D215" s="3"/>
    </row>
    <row r="216" spans="1:4" ht="13.5">
      <c r="A216" s="53" t="s">
        <v>45</v>
      </c>
      <c r="B216" s="88" t="s">
        <v>129</v>
      </c>
      <c r="C216" s="89">
        <f>TRUNC((C214/C215),4)</f>
        <v>0</v>
      </c>
      <c r="D216" s="3"/>
    </row>
    <row r="217" spans="1:3" ht="13.5">
      <c r="A217" s="90"/>
      <c r="B217" s="79"/>
      <c r="C217" s="91"/>
    </row>
    <row r="218" spans="1:3" ht="14.25" thickBot="1">
      <c r="A218" s="90"/>
      <c r="B218" s="79"/>
      <c r="C218" s="92"/>
    </row>
    <row r="219" spans="1:3" ht="13.5" thickBot="1">
      <c r="A219" s="73"/>
      <c r="B219" s="60" t="s">
        <v>41</v>
      </c>
      <c r="C219" s="49" t="s">
        <v>42</v>
      </c>
    </row>
    <row r="220" spans="1:3" ht="13.5">
      <c r="A220" s="47"/>
      <c r="B220" s="51" t="str">
        <f>+B174</f>
        <v>Total de pagos indemnizatorios gravados</v>
      </c>
      <c r="C220" s="65">
        <f>+C174</f>
        <v>2276.3999999999996</v>
      </c>
    </row>
    <row r="221" spans="1:3" ht="13.5">
      <c r="A221" s="53" t="s">
        <v>49</v>
      </c>
      <c r="B221" s="54" t="str">
        <f>+B216</f>
        <v>Tasa para aplicarse al total de ingresos indemnizatorios gravados</v>
      </c>
      <c r="C221" s="82">
        <f>+C216</f>
        <v>0</v>
      </c>
    </row>
    <row r="222" spans="1:5" ht="13.5">
      <c r="A222" s="53" t="s">
        <v>45</v>
      </c>
      <c r="B222" s="88" t="s">
        <v>130</v>
      </c>
      <c r="C222" s="67">
        <f>ROUND((C220*C221),2)</f>
        <v>0</v>
      </c>
      <c r="E222" s="36"/>
    </row>
    <row r="223" spans="1:3" ht="13.5">
      <c r="A223" s="47"/>
      <c r="B223" s="47"/>
      <c r="C223" s="47"/>
    </row>
    <row r="224" spans="1:3" ht="13.5">
      <c r="A224" s="58" t="s">
        <v>136</v>
      </c>
      <c r="B224" s="47"/>
      <c r="C224" s="47"/>
    </row>
    <row r="225" spans="1:3" ht="14.25" thickBot="1">
      <c r="A225" s="59"/>
      <c r="B225" s="47"/>
      <c r="C225" s="47"/>
    </row>
    <row r="226" spans="1:3" ht="13.5" thickBot="1">
      <c r="A226" s="73"/>
      <c r="B226" s="60" t="s">
        <v>41</v>
      </c>
      <c r="C226" s="49" t="s">
        <v>42</v>
      </c>
    </row>
    <row r="227" spans="1:3" ht="13.5">
      <c r="A227" s="93"/>
      <c r="B227" s="94" t="s">
        <v>81</v>
      </c>
      <c r="C227" s="65">
        <f>IF(C198&gt;C199,C194,(C198+C194))</f>
        <v>3125.1799999999994</v>
      </c>
    </row>
    <row r="228" spans="1:3" ht="13.5">
      <c r="A228" s="53" t="s">
        <v>43</v>
      </c>
      <c r="B228" s="54" t="s">
        <v>82</v>
      </c>
      <c r="C228" s="68">
        <f>VLOOKUP(C227,isrnueva,1)</f>
        <v>644.59</v>
      </c>
    </row>
    <row r="229" spans="1:3" ht="13.5">
      <c r="A229" s="53" t="s">
        <v>45</v>
      </c>
      <c r="B229" s="54" t="s">
        <v>83</v>
      </c>
      <c r="C229" s="68">
        <f>+C227-C228</f>
        <v>2480.5899999999992</v>
      </c>
    </row>
    <row r="230" spans="1:3" ht="13.5">
      <c r="A230" s="53" t="s">
        <v>49</v>
      </c>
      <c r="B230" s="54" t="s">
        <v>84</v>
      </c>
      <c r="C230" s="87">
        <f>VLOOKUP(C227,isrnueva,4)/100</f>
        <v>0.064</v>
      </c>
    </row>
    <row r="231" spans="1:3" ht="13.5">
      <c r="A231" s="53" t="s">
        <v>45</v>
      </c>
      <c r="B231" s="54" t="s">
        <v>85</v>
      </c>
      <c r="C231" s="68">
        <f>ROUND((C229*C230),2)</f>
        <v>158.76</v>
      </c>
    </row>
    <row r="232" spans="1:3" ht="13.5">
      <c r="A232" s="53" t="s">
        <v>64</v>
      </c>
      <c r="B232" s="54" t="s">
        <v>86</v>
      </c>
      <c r="C232" s="68">
        <f>VLOOKUP(C227,isrnueva,3)</f>
        <v>12.38</v>
      </c>
    </row>
    <row r="233" spans="1:3" ht="13.5">
      <c r="A233" s="53" t="s">
        <v>45</v>
      </c>
      <c r="B233" s="88" t="s">
        <v>136</v>
      </c>
      <c r="C233" s="67">
        <f>+C231+C232</f>
        <v>171.14</v>
      </c>
    </row>
    <row r="234" spans="1:3" ht="13.5">
      <c r="A234" s="47"/>
      <c r="B234" s="47"/>
      <c r="C234" s="47"/>
    </row>
    <row r="235" spans="1:3" ht="13.5">
      <c r="A235" s="58" t="s">
        <v>87</v>
      </c>
      <c r="B235" s="47"/>
      <c r="C235" s="47"/>
    </row>
    <row r="236" spans="1:3" ht="14.25" thickBot="1">
      <c r="A236" s="59"/>
      <c r="B236" s="47"/>
      <c r="C236" s="47"/>
    </row>
    <row r="237" spans="1:3" ht="13.5" thickBot="1">
      <c r="A237" s="73"/>
      <c r="B237" s="60" t="s">
        <v>41</v>
      </c>
      <c r="C237" s="49" t="s">
        <v>42</v>
      </c>
    </row>
    <row r="238" spans="1:3" ht="13.5">
      <c r="A238" s="93" t="s">
        <v>43</v>
      </c>
      <c r="B238" s="94" t="s">
        <v>88</v>
      </c>
      <c r="C238" s="65">
        <f>VLOOKUP(C227,subsidiomensual,3)</f>
        <v>406.62</v>
      </c>
    </row>
    <row r="239" spans="1:3" ht="13.5">
      <c r="A239" s="53" t="s">
        <v>45</v>
      </c>
      <c r="B239" s="54" t="s">
        <v>89</v>
      </c>
      <c r="C239" s="95">
        <f>+C233-C238</f>
        <v>-235.48000000000002</v>
      </c>
    </row>
    <row r="240" spans="1:3" ht="13.5">
      <c r="A240" s="53" t="s">
        <v>43</v>
      </c>
      <c r="B240" s="54" t="str">
        <f>+A28</f>
        <v>ISR retenido en el mismo mes, con anterioridad a la renuncia</v>
      </c>
      <c r="C240" s="68">
        <f>+C28</f>
        <v>0</v>
      </c>
    </row>
    <row r="241" spans="1:3" ht="13.5">
      <c r="A241" s="53" t="s">
        <v>45</v>
      </c>
      <c r="B241" s="88" t="s">
        <v>87</v>
      </c>
      <c r="C241" s="96">
        <f>+C239-C240</f>
        <v>-235.48000000000002</v>
      </c>
    </row>
    <row r="242" spans="1:3" ht="14.25" thickBot="1">
      <c r="A242" s="47"/>
      <c r="B242" s="47"/>
      <c r="C242" s="47"/>
    </row>
    <row r="243" spans="1:3" ht="13.5" thickBot="1">
      <c r="A243" s="73"/>
      <c r="B243" s="60" t="s">
        <v>41</v>
      </c>
      <c r="C243" s="49" t="s">
        <v>42</v>
      </c>
    </row>
    <row r="244" spans="1:3" ht="13.5">
      <c r="A244" s="93"/>
      <c r="B244" s="94" t="str">
        <f>+B222</f>
        <v>ISR sobre ingresos indemnizatorios gravados</v>
      </c>
      <c r="C244" s="97">
        <f>+C222</f>
        <v>0</v>
      </c>
    </row>
    <row r="245" spans="1:3" ht="13.5">
      <c r="A245" s="53" t="s">
        <v>64</v>
      </c>
      <c r="B245" s="54" t="str">
        <f>+B241</f>
        <v>ISR a retener por finiquito</v>
      </c>
      <c r="C245" s="95">
        <f>+C241</f>
        <v>-235.48000000000002</v>
      </c>
    </row>
    <row r="246" spans="1:3" ht="13.5">
      <c r="A246" s="53" t="s">
        <v>45</v>
      </c>
      <c r="B246" s="88" t="s">
        <v>131</v>
      </c>
      <c r="C246" s="67">
        <f>+C244+C245</f>
        <v>-235.48000000000002</v>
      </c>
    </row>
    <row r="247" ht="12.75"/>
  </sheetData>
  <sheetProtection password="83F7" sheet="1" objects="1" scenarios="1" selectLockedCells="1"/>
  <mergeCells count="11">
    <mergeCell ref="A46:C46"/>
    <mergeCell ref="A33:B33"/>
    <mergeCell ref="A32:B32"/>
    <mergeCell ref="A11:C11"/>
    <mergeCell ref="A24:B24"/>
    <mergeCell ref="A27:B27"/>
    <mergeCell ref="A36:C36"/>
    <mergeCell ref="A31:B31"/>
    <mergeCell ref="D11:E12"/>
    <mergeCell ref="A15:B15"/>
    <mergeCell ref="A17:B17"/>
  </mergeCells>
  <dataValidations count="16">
    <dataValidation type="list" allowBlank="1" showInputMessage="1" showErrorMessage="1" sqref="M33">
      <formula1>$M$29:$M$31</formula1>
    </dataValidation>
    <dataValidation type="whole" operator="equal" allowBlank="1" showInputMessage="1" showErrorMessage="1" sqref="E18">
      <formula1>+N105</formula1>
    </dataValidation>
    <dataValidation allowBlank="1" showInputMessage="1" showErrorMessage="1" prompt="Debe introducir la fecha de ingreso del trabajador en el formato día, mes y año" error="Debe introducir la fecha de ingreso del trabajador en el formato día, mes y año" sqref="C15 C17"/>
    <dataValidation type="decimal" allowBlank="1" showInputMessage="1" showErrorMessage="1" error="Debe introducir el por ciento de prima vacacional que otorga la empresa en el año de separación, sin que pueda ser menor al 25% previsto en la LFT" sqref="C23">
      <formula1>0.25</formula1>
      <formula2>0.9999999</formula2>
    </dataValidation>
    <dataValidation type="whole" operator="greaterThanOrEqual" allowBlank="1" showInputMessage="1" showErrorMessage="1" error="Debe introducir los días de vacaciones generados en períodos anteriores que no hubiera disfrutado el trabajador a la fecha de la renuncia" sqref="C22">
      <formula1>0</formula1>
    </dataValidation>
    <dataValidation type="whole" operator="greaterThan" allowBlank="1" showInputMessage="1" showErrorMessage="1" error="Debe introducir los días que se generarian de vacaciones en el año de separación, sin que pueda ser menor a los previstos en la LFT" sqref="C21">
      <formula1>5</formula1>
    </dataValidation>
    <dataValidation type="whole" operator="greaterThan" allowBlank="1" showInputMessage="1" showErrorMessage="1" error="Debe introducir el número de días de aguinaldo que otorga la empresa, y no puede ser inferior a los 15 días previstos en la LFT" sqref="C20">
      <formula1>14</formula1>
    </dataValidation>
    <dataValidation type="custom" allowBlank="1" showInputMessage="1" showErrorMessage="1" error="No puede cambiar este valor" sqref="C14">
      <formula1>VLOOKUP(C13,I12:J14,2)</formula1>
    </dataValidation>
    <dataValidation type="date" allowBlank="1" showInputMessage="1" showErrorMessage="1" error="No puede ser anterior al primero de enero de 2019 ni posterior al 31 de diciembre de 2019" sqref="C29">
      <formula1>I20</formula1>
      <formula2>I21</formula2>
    </dataValidation>
    <dataValidation type="date" allowBlank="1" showInputMessage="1" showErrorMessage="1" error="No puede ser anterior al primero de enero de 2010 ni posterior al 31 de diciembre de 2010" sqref="C31">
      <formula1>I21</formula1>
      <formula2>I22</formula2>
    </dataValidation>
    <dataValidation type="list" allowBlank="1" showInputMessage="1" showErrorMessage="1" sqref="D16 D18">
      <formula1>$M$12:$M$23</formula1>
    </dataValidation>
    <dataValidation type="list" allowBlank="1" showInputMessage="1" showErrorMessage="1" sqref="C13">
      <formula1>$I$12:$I$13</formula1>
    </dataValidation>
    <dataValidation type="list" allowBlank="1" showErrorMessage="1" prompt="Debe introducir la fecha de ingreso del trabajador en el formato día, mes y año" error="Debe introducir la fecha de ingreso del trabajador en el formato día, mes y año" sqref="C16 C18">
      <formula1>$L$12:$L$42</formula1>
    </dataValidation>
    <dataValidation type="list" allowBlank="1" showInputMessage="1" showErrorMessage="1" sqref="E16">
      <formula1>$N$12:$N$105</formula1>
    </dataValidation>
    <dataValidation type="list" allowBlank="1" showInputMessage="1" showErrorMessage="1" sqref="C33 C30">
      <formula1>$J$8:$J$9</formula1>
    </dataValidation>
    <dataValidation type="decimal" operator="greaterThanOrEqual" allowBlank="1" showInputMessage="1" showErrorMessage="1" sqref="C19">
      <formula1>C14</formula1>
    </dataValidation>
  </dataValidations>
  <printOptions/>
  <pageMargins left="0.7480314960629921" right="0.7480314960629921" top="0.984251968503937" bottom="0.984251968503937" header="0" footer="0"/>
  <pageSetup fitToHeight="4" fitToWidth="1" horizontalDpi="600" verticalDpi="600" orientation="portrait" scale="73" r:id="rId4"/>
  <rowBreaks count="2" manualBreakCount="2">
    <brk id="67" max="255" man="1"/>
    <brk id="163" max="255" man="1"/>
  </rowBreaks>
  <drawing r:id="rId3"/>
  <legacyDrawing r:id="rId2"/>
</worksheet>
</file>

<file path=xl/worksheets/sheet2.xml><?xml version="1.0" encoding="utf-8"?>
<worksheet xmlns="http://schemas.openxmlformats.org/spreadsheetml/2006/main" xmlns:r="http://schemas.openxmlformats.org/officeDocument/2006/relationships">
  <sheetPr codeName="Hoja2"/>
  <dimension ref="C33:C33"/>
  <sheetViews>
    <sheetView zoomScalePageLayoutView="0" workbookViewId="0" topLeftCell="A1">
      <selection activeCell="E26" sqref="E26"/>
    </sheetView>
  </sheetViews>
  <sheetFormatPr defaultColWidth="11.421875" defaultRowHeight="12.75"/>
  <sheetData>
    <row r="33" ht="12.75">
      <c r="C33" t="s">
        <v>135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Expansion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Edgar Ivan Rodriguez Vazquez</cp:lastModifiedBy>
  <cp:lastPrinted>2014-02-05T16:38:58Z</cp:lastPrinted>
  <dcterms:created xsi:type="dcterms:W3CDTF">2010-05-07T17:18:08Z</dcterms:created>
  <dcterms:modified xsi:type="dcterms:W3CDTF">2021-01-28T17:45:25Z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