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driguezei\OneDrive - GLOBAL HITSS\Documentos\RESPALDO HITSS\calculadora 2020\"/>
    </mc:Choice>
  </mc:AlternateContent>
  <xr:revisionPtr revIDLastSave="0" documentId="8_{D08FF6F0-B850-40DF-8409-2F0A0704A686}" xr6:coauthVersionLast="45" xr6:coauthVersionMax="45" xr10:uidLastSave="{00000000-0000-0000-0000-000000000000}"/>
  <workbookProtection workbookAlgorithmName="SHA-512" workbookHashValue="9WRV6MImECwP2ejpgHT71EaccDqjbfLkn7sBGCazjGQmpbO6w4v8nBB0Vaybv1b5NMhlTflAvFb9GTcSOQJNMQ==" workbookSaltValue="CWAr7LJd4ld6ypz7qhl4Pw==" workbookSpinCount="100000" lockStructure="1"/>
  <bookViews>
    <workbookView showHorizontalScroll="0" showVerticalScroll="0" showSheetTabs="0" xWindow="-120" yWindow="-120" windowWidth="20730" windowHeight="11160" tabRatio="242" xr2:uid="{00000000-000D-0000-FFFF-FFFF00000000}"/>
  </bookViews>
  <sheets>
    <sheet name="AGUINALDO CC" sheetId="1" r:id="rId1"/>
    <sheet name="Hoja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E22" i="1" l="1"/>
  <c r="K8" i="1" s="1"/>
  <c r="K14" i="1" s="1"/>
  <c r="C15" i="1" l="1"/>
  <c r="C19" i="1"/>
  <c r="C17" i="1"/>
  <c r="C23" i="1"/>
  <c r="C21" i="1"/>
  <c r="C24" i="1"/>
  <c r="K20" i="1" l="1"/>
  <c r="E18" i="1"/>
  <c r="K11" i="1"/>
  <c r="C25" i="1"/>
  <c r="C22" i="1"/>
  <c r="N47" i="1"/>
  <c r="AD13" i="1"/>
  <c r="AD12" i="1"/>
  <c r="AD11" i="1"/>
  <c r="AD9" i="1"/>
  <c r="AD10" i="1" s="1"/>
  <c r="R8" i="1"/>
  <c r="R10" i="1" s="1"/>
  <c r="R11" i="1" s="1"/>
  <c r="B25" i="1"/>
  <c r="B23" i="1"/>
  <c r="C13" i="1"/>
  <c r="Q29" i="1" s="1"/>
  <c r="L8" i="1"/>
  <c r="K15" i="1"/>
  <c r="Q38" i="1"/>
  <c r="Q28" i="1"/>
  <c r="AD14" i="1" l="1"/>
  <c r="Q40" i="1"/>
  <c r="Q39" i="1"/>
  <c r="Q36" i="1"/>
  <c r="Q35" i="1"/>
  <c r="K16" i="1"/>
  <c r="R12" i="1"/>
  <c r="R13" i="1"/>
  <c r="R14" i="1"/>
  <c r="L14" i="1"/>
  <c r="Q30" i="1"/>
  <c r="L16" i="1" l="1"/>
  <c r="E27" i="1" s="1"/>
  <c r="O8" i="1" s="1"/>
  <c r="R15" i="1"/>
  <c r="O16" i="1" s="1"/>
  <c r="Q34" i="1"/>
  <c r="E32" i="1" l="1"/>
  <c r="O9" i="1"/>
  <c r="O12" i="1" s="1"/>
  <c r="X8" i="1" l="1"/>
  <c r="E34" i="1" s="1"/>
  <c r="O10" i="1"/>
  <c r="O11" i="1" s="1"/>
  <c r="O13" i="1"/>
  <c r="O14" i="1"/>
  <c r="X9" i="1" l="1"/>
  <c r="O15" i="1"/>
  <c r="O17" i="1" s="1"/>
  <c r="Z13" i="1" l="1"/>
  <c r="Z9" i="1"/>
  <c r="Z10" i="1" s="1"/>
  <c r="Z11" i="1"/>
  <c r="Z12" i="1"/>
  <c r="Z14" i="1" l="1"/>
  <c r="X11" i="1" s="1"/>
  <c r="X12" i="1" l="1"/>
  <c r="E38" i="1"/>
  <c r="X10" i="1"/>
  <c r="E36" i="1" s="1"/>
  <c r="X13" i="1" l="1"/>
  <c r="E42" i="1"/>
  <c r="E40" i="1" l="1"/>
  <c r="E44" i="1"/>
  <c r="E46" i="1" s="1"/>
  <c r="B50" i="1" s="1"/>
</calcChain>
</file>

<file path=xl/sharedStrings.xml><?xml version="1.0" encoding="utf-8"?>
<sst xmlns="http://schemas.openxmlformats.org/spreadsheetml/2006/main" count="116" uniqueCount="67">
  <si>
    <t>NO</t>
  </si>
  <si>
    <t>SI</t>
  </si>
  <si>
    <t>Lo que significa:</t>
  </si>
  <si>
    <t> pesos M/N.</t>
  </si>
  <si>
    <t>Elige una opción</t>
  </si>
  <si>
    <t>1.</t>
  </si>
  <si>
    <t>2.</t>
  </si>
  <si>
    <t>. Esto quiere decir que usted recibirá un total neto de $</t>
  </si>
  <si>
    <t>3.</t>
  </si>
  <si>
    <t xml:space="preserve">Límite Inferior </t>
  </si>
  <si>
    <t xml:space="preserve">Límite Superior </t>
  </si>
  <si>
    <t>Cuota Fija</t>
  </si>
  <si>
    <t>% para aplicarse sobre el excedente del límite inferior</t>
  </si>
  <si>
    <t>Para Ingresos de</t>
  </si>
  <si>
    <t>Hasta Ingresos de</t>
  </si>
  <si>
    <t>Cantidad de subsidio para el empleo mensual</t>
  </si>
  <si>
    <t>$</t>
  </si>
  <si>
    <t>SUBSIDIO</t>
  </si>
  <si>
    <t>ART. 93</t>
  </si>
  <si>
    <t>Indique sueldo mensual antes de impuestos:</t>
  </si>
  <si>
    <t>AGUINALDO</t>
  </si>
  <si>
    <t>AGUINALDO EXCENTO</t>
  </si>
  <si>
    <t>4.</t>
  </si>
  <si>
    <t>5.</t>
  </si>
  <si>
    <t>AGUINALDO GRAVADO</t>
  </si>
  <si>
    <t>TOTAL NETO A RECIBIR</t>
  </si>
  <si>
    <t>De un sueldo que usted gane por $</t>
  </si>
  <si>
    <t>inicio año</t>
  </si>
  <si>
    <t>fin año</t>
  </si>
  <si>
    <t>dias de aguinaldo</t>
  </si>
  <si>
    <t>Opción de calcúlo de Impuesto del Aguinaldo.</t>
  </si>
  <si>
    <t>limite inferior</t>
  </si>
  <si>
    <t>excedente</t>
  </si>
  <si>
    <t>tasa</t>
  </si>
  <si>
    <t>cuota fija</t>
  </si>
  <si>
    <t>subsidio</t>
  </si>
  <si>
    <t>isr del salari+ aguinaldo</t>
  </si>
  <si>
    <t>( - )</t>
  </si>
  <si>
    <t>( = )</t>
  </si>
  <si>
    <t>( x )</t>
  </si>
  <si>
    <t>( + )</t>
  </si>
  <si>
    <t>(-)</t>
  </si>
  <si>
    <t>isr del salario</t>
  </si>
  <si>
    <t>isr solo sueldo</t>
  </si>
  <si>
    <t xml:space="preserve"> isr aguinaldo</t>
  </si>
  <si>
    <t>gravable</t>
  </si>
  <si>
    <t>Fraccion I</t>
  </si>
  <si>
    <t>Fraccion II</t>
  </si>
  <si>
    <t>Fraccion III</t>
  </si>
  <si>
    <t>Fraccion IV</t>
  </si>
  <si>
    <t>Fraccion V</t>
  </si>
  <si>
    <t>FRACC II</t>
  </si>
  <si>
    <t>ISR A RETENER AGUINALDO</t>
  </si>
  <si>
    <t xml:space="preserve"> mensual, el cálculo arrojá un aguinaldo gravado por $ </t>
  </si>
  <si>
    <t xml:space="preserve"> y se le retendrá ISR con base en el </t>
  </si>
  <si>
    <t xml:space="preserve"> por la cantidad de $</t>
  </si>
  <si>
    <t>Art. 96 LISR</t>
  </si>
  <si>
    <t>En adelante</t>
  </si>
  <si>
    <t>Art. 174 FRACCION I RISR</t>
  </si>
  <si>
    <t>Art. 174 FRACCION II RISR</t>
  </si>
  <si>
    <t>Art. 174 FRACCION III RISR</t>
  </si>
  <si>
    <t>Art. 174 FRACCION IV RISR</t>
  </si>
  <si>
    <t>Art. 174 FRACCION V RISR</t>
  </si>
  <si>
    <t>Art. 174 RISR</t>
  </si>
  <si>
    <t>ART. 96 LISR</t>
  </si>
  <si>
    <t>Para realizar un nuevo cálculo te recomendamos cerrar y abrir la calculadora por si borraste alguna formula y estar 100% seguro de tu resultado.</t>
  </si>
  <si>
    <t>CALCULADORA DE AGUINALDO 2020 LISR y RISR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</si>
</sst>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0000_-;\-* #,##0.0000000_-;_-* &quot;-&quot;??_-;_-@_-"/>
    <numFmt numFmtId="165" formatCode="&quot;$&quot;#,##0;\-&quot;$&quot;#,##0.00"/>
    <numFmt numFmtId="166" formatCode="_-* #,##0_-;\-* #,##0_-;_-* &quot;-&quot;??_-;_-@_-"/>
    <numFmt numFmtId="167" formatCode="_-* #,##0.0000_-;\-* #,##0.00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6"/>
      <color rgb="FF333333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8"/>
      <color rgb="FF555555"/>
      <name val="Georgia"/>
      <family val="1"/>
    </font>
    <font>
      <sz val="7"/>
      <color rgb="FF555555"/>
      <name val="Arial"/>
      <family val="2"/>
    </font>
    <font>
      <sz val="9"/>
      <color rgb="FF222222"/>
      <name val="Verdana"/>
      <family val="2"/>
    </font>
    <font>
      <sz val="10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499984740745262"/>
        <bgColor indexed="65"/>
      </patternFill>
    </fill>
    <fill>
      <gradientFill degree="90">
        <stop position="0">
          <color theme="0"/>
        </stop>
        <stop position="0.5">
          <color rgb="FF07E350"/>
        </stop>
        <stop position="1">
          <color theme="0"/>
        </stop>
      </gradient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/>
      <right/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/>
      <diagonal/>
    </border>
    <border>
      <left/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EDEDED"/>
      </left>
      <right style="medium">
        <color rgb="FFEDEDED"/>
      </right>
      <top style="medium">
        <color rgb="FFEDEDED"/>
      </top>
      <bottom style="medium">
        <color rgb="FFEDEDED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43" fontId="0" fillId="0" borderId="0" xfId="1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43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vertical="center" wrapText="1"/>
      <protection hidden="1"/>
    </xf>
    <xf numFmtId="0" fontId="0" fillId="3" borderId="11" xfId="0" applyFill="1" applyBorder="1" applyAlignment="1" applyProtection="1">
      <alignment horizontal="center"/>
      <protection locked="0" hidden="1"/>
    </xf>
    <xf numFmtId="44" fontId="1" fillId="0" borderId="0" xfId="2" applyFont="1"/>
    <xf numFmtId="10" fontId="1" fillId="0" borderId="0" xfId="3" applyNumberFormat="1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8" fillId="0" borderId="0" xfId="0" applyFont="1" applyAlignment="1" applyProtection="1">
      <protection hidden="1"/>
    </xf>
    <xf numFmtId="2" fontId="0" fillId="0" borderId="0" xfId="0" applyNumberForma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 vertical="center"/>
      <protection hidden="1"/>
    </xf>
    <xf numFmtId="0" fontId="0" fillId="3" borderId="1" xfId="0" applyFill="1" applyBorder="1" applyAlignment="1" applyProtection="1">
      <alignment horizontal="center"/>
      <protection locked="0" hidden="1"/>
    </xf>
    <xf numFmtId="14" fontId="0" fillId="0" borderId="0" xfId="0" applyNumberFormat="1" applyProtection="1">
      <protection hidden="1"/>
    </xf>
    <xf numFmtId="165" fontId="2" fillId="0" borderId="0" xfId="1" applyNumberFormat="1" applyFont="1" applyBorder="1" applyAlignment="1" applyProtection="1">
      <alignment vertical="center"/>
      <protection hidden="1"/>
    </xf>
    <xf numFmtId="166" fontId="0" fillId="0" borderId="0" xfId="1" applyNumberFormat="1" applyFont="1" applyProtection="1">
      <protection hidden="1"/>
    </xf>
    <xf numFmtId="0" fontId="0" fillId="4" borderId="0" xfId="0" applyFill="1" applyProtection="1">
      <protection hidden="1"/>
    </xf>
    <xf numFmtId="0" fontId="10" fillId="0" borderId="0" xfId="0" applyFont="1" applyAlignment="1" applyProtection="1">
      <alignment horizontal="right"/>
      <protection hidden="1"/>
    </xf>
    <xf numFmtId="0" fontId="13" fillId="0" borderId="0" xfId="4" applyBorder="1" applyAlignment="1" applyProtection="1">
      <alignment horizontal="left"/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5" xfId="0" applyBorder="1" applyProtection="1">
      <protection hidden="1"/>
    </xf>
    <xf numFmtId="43" fontId="0" fillId="0" borderId="22" xfId="0" applyNumberFormat="1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21" xfId="0" applyBorder="1" applyProtection="1">
      <protection hidden="1"/>
    </xf>
    <xf numFmtId="9" fontId="0" fillId="0" borderId="22" xfId="3" applyFont="1" applyBorder="1" applyProtection="1">
      <protection hidden="1"/>
    </xf>
    <xf numFmtId="10" fontId="0" fillId="0" borderId="22" xfId="3" applyNumberFormat="1" applyFont="1" applyBorder="1" applyProtection="1">
      <protection hidden="1"/>
    </xf>
    <xf numFmtId="43" fontId="0" fillId="0" borderId="22" xfId="1" applyFont="1" applyBorder="1" applyProtection="1">
      <protection hidden="1"/>
    </xf>
    <xf numFmtId="165" fontId="0" fillId="0" borderId="22" xfId="0" applyNumberFormat="1" applyBorder="1" applyProtection="1">
      <protection hidden="1"/>
    </xf>
    <xf numFmtId="0" fontId="0" fillId="0" borderId="0" xfId="0" applyFill="1" applyProtection="1">
      <protection hidden="1"/>
    </xf>
    <xf numFmtId="0" fontId="13" fillId="0" borderId="0" xfId="4" applyFill="1" applyBorder="1" applyAlignment="1" applyProtection="1">
      <alignment horizontal="left"/>
      <protection hidden="1"/>
    </xf>
    <xf numFmtId="43" fontId="11" fillId="5" borderId="1" xfId="1" applyFont="1" applyFill="1" applyBorder="1" applyAlignment="1" applyProtection="1">
      <alignment horizontal="center"/>
      <protection hidden="1"/>
    </xf>
    <xf numFmtId="167" fontId="11" fillId="5" borderId="1" xfId="1" applyNumberFormat="1" applyFont="1" applyFill="1" applyBorder="1" applyAlignment="1" applyProtection="1">
      <alignment horizontal="center"/>
      <protection hidden="1"/>
    </xf>
    <xf numFmtId="0" fontId="11" fillId="10" borderId="1" xfId="0" applyFont="1" applyFill="1" applyBorder="1" applyAlignment="1" applyProtection="1">
      <alignment horizontal="center"/>
      <protection locked="0" hidden="1"/>
    </xf>
    <xf numFmtId="14" fontId="11" fillId="10" borderId="1" xfId="0" applyNumberFormat="1" applyFont="1" applyFill="1" applyBorder="1" applyAlignment="1" applyProtection="1">
      <alignment horizontal="center"/>
      <protection locked="0" hidden="1"/>
    </xf>
    <xf numFmtId="1" fontId="11" fillId="10" borderId="1" xfId="1" applyNumberFormat="1" applyFont="1" applyFill="1" applyBorder="1" applyAlignment="1" applyProtection="1">
      <alignment horizontal="center"/>
      <protection locked="0" hidden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top" wrapText="1"/>
    </xf>
    <xf numFmtId="4" fontId="15" fillId="0" borderId="0" xfId="0" applyNumberFormat="1" applyFont="1" applyFill="1" applyBorder="1" applyAlignment="1">
      <alignment vertical="top" wrapText="1"/>
    </xf>
    <xf numFmtId="0" fontId="16" fillId="11" borderId="23" xfId="0" applyFont="1" applyFill="1" applyBorder="1" applyAlignment="1">
      <alignment vertical="center" wrapText="1"/>
    </xf>
    <xf numFmtId="4" fontId="16" fillId="11" borderId="23" xfId="0" applyNumberFormat="1" applyFont="1" applyFill="1" applyBorder="1" applyAlignment="1">
      <alignment vertical="center" wrapText="1"/>
    </xf>
    <xf numFmtId="3" fontId="16" fillId="11" borderId="23" xfId="0" applyNumberFormat="1" applyFont="1" applyFill="1" applyBorder="1" applyAlignment="1">
      <alignment vertical="center" wrapText="1"/>
    </xf>
    <xf numFmtId="0" fontId="17" fillId="0" borderId="0" xfId="0" applyFont="1" applyProtection="1">
      <protection hidden="1"/>
    </xf>
    <xf numFmtId="43" fontId="6" fillId="7" borderId="1" xfId="1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6" borderId="8" xfId="0" applyFont="1" applyFill="1" applyBorder="1" applyAlignment="1" applyProtection="1">
      <alignment horizontal="left"/>
      <protection hidden="1"/>
    </xf>
    <xf numFmtId="0" fontId="0" fillId="6" borderId="9" xfId="0" applyFont="1" applyFill="1" applyBorder="1" applyAlignment="1" applyProtection="1">
      <alignment horizontal="left"/>
      <protection hidden="1"/>
    </xf>
    <xf numFmtId="0" fontId="0" fillId="6" borderId="10" xfId="0" applyFont="1" applyFill="1" applyBorder="1" applyAlignment="1" applyProtection="1">
      <alignment horizontal="left"/>
      <protection hidden="1"/>
    </xf>
    <xf numFmtId="0" fontId="2" fillId="0" borderId="3" xfId="0" applyNumberFormat="1" applyFont="1" applyBorder="1" applyAlignment="1" applyProtection="1">
      <alignment horizontal="right"/>
      <protection hidden="1"/>
    </xf>
    <xf numFmtId="0" fontId="2" fillId="0" borderId="4" xfId="0" applyNumberFormat="1" applyFont="1" applyBorder="1" applyAlignment="1" applyProtection="1">
      <alignment horizontal="right"/>
      <protection hidden="1"/>
    </xf>
    <xf numFmtId="49" fontId="2" fillId="0" borderId="3" xfId="0" applyNumberFormat="1" applyFont="1" applyBorder="1" applyAlignment="1" applyProtection="1">
      <alignment horizontal="right"/>
      <protection hidden="1"/>
    </xf>
    <xf numFmtId="49" fontId="2" fillId="0" borderId="4" xfId="0" applyNumberFormat="1" applyFont="1" applyBorder="1" applyAlignment="1" applyProtection="1">
      <alignment horizontal="right"/>
      <protection hidden="1"/>
    </xf>
    <xf numFmtId="49" fontId="0" fillId="0" borderId="5" xfId="0" applyNumberFormat="1" applyBorder="1" applyAlignment="1" applyProtection="1">
      <alignment horizontal="right"/>
      <protection hidden="1"/>
    </xf>
    <xf numFmtId="0" fontId="0" fillId="8" borderId="8" xfId="0" applyFill="1" applyBorder="1" applyAlignment="1" applyProtection="1">
      <alignment horizontal="center"/>
      <protection hidden="1"/>
    </xf>
    <xf numFmtId="0" fontId="0" fillId="8" borderId="9" xfId="0" applyFill="1" applyBorder="1" applyAlignment="1" applyProtection="1">
      <alignment horizontal="center"/>
      <protection hidden="1"/>
    </xf>
    <xf numFmtId="0" fontId="0" fillId="8" borderId="10" xfId="0" applyFill="1" applyBorder="1" applyAlignment="1" applyProtection="1">
      <alignment horizontal="center"/>
      <protection hidden="1"/>
    </xf>
    <xf numFmtId="0" fontId="11" fillId="8" borderId="8" xfId="0" applyFont="1" applyFill="1" applyBorder="1" applyAlignment="1" applyProtection="1">
      <alignment horizontal="center"/>
      <protection hidden="1"/>
    </xf>
    <xf numFmtId="0" fontId="11" fillId="8" borderId="9" xfId="0" applyFont="1" applyFill="1" applyBorder="1" applyAlignment="1" applyProtection="1">
      <alignment horizontal="center"/>
      <protection hidden="1"/>
    </xf>
    <xf numFmtId="0" fontId="11" fillId="8" borderId="1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1" fillId="5" borderId="8" xfId="0" applyFont="1" applyFill="1" applyBorder="1" applyAlignment="1" applyProtection="1">
      <alignment horizontal="center"/>
      <protection hidden="1"/>
    </xf>
    <xf numFmtId="0" fontId="11" fillId="5" borderId="9" xfId="0" applyFont="1" applyFill="1" applyBorder="1" applyAlignment="1" applyProtection="1">
      <alignment horizontal="center"/>
      <protection hidden="1"/>
    </xf>
    <xf numFmtId="0" fontId="9" fillId="9" borderId="2" xfId="0" applyFont="1" applyFill="1" applyBorder="1" applyAlignment="1" applyProtection="1">
      <alignment horizontal="center" vertical="center"/>
      <protection hidden="1"/>
    </xf>
    <xf numFmtId="0" fontId="9" fillId="9" borderId="3" xfId="0" applyFont="1" applyFill="1" applyBorder="1" applyAlignment="1" applyProtection="1">
      <alignment horizontal="center" vertical="center"/>
      <protection hidden="1"/>
    </xf>
    <xf numFmtId="0" fontId="9" fillId="9" borderId="6" xfId="0" applyFont="1" applyFill="1" applyBorder="1" applyAlignment="1" applyProtection="1">
      <alignment horizontal="center" vertical="center"/>
      <protection hidden="1"/>
    </xf>
    <xf numFmtId="0" fontId="9" fillId="9" borderId="7" xfId="0" applyFont="1" applyFill="1" applyBorder="1" applyAlignment="1" applyProtection="1">
      <alignment horizontal="center" vertical="center"/>
      <protection hidden="1"/>
    </xf>
    <xf numFmtId="43" fontId="9" fillId="9" borderId="20" xfId="1" applyFont="1" applyFill="1" applyBorder="1" applyAlignment="1" applyProtection="1">
      <alignment horizontal="center" vertical="center"/>
      <protection hidden="1"/>
    </xf>
    <xf numFmtId="43" fontId="9" fillId="9" borderId="11" xfId="1" applyFont="1" applyFill="1" applyBorder="1" applyAlignment="1" applyProtection="1">
      <alignment horizontal="center" vertical="center"/>
      <protection hidden="1"/>
    </xf>
    <xf numFmtId="7" fontId="2" fillId="0" borderId="8" xfId="1" applyNumberFormat="1" applyFont="1" applyBorder="1" applyAlignment="1" applyProtection="1">
      <alignment horizontal="center" vertical="center"/>
      <protection locked="0" hidden="1"/>
    </xf>
    <xf numFmtId="7" fontId="2" fillId="0" borderId="10" xfId="1" applyNumberFormat="1" applyFont="1" applyBorder="1" applyAlignment="1" applyProtection="1">
      <alignment horizontal="center" vertical="center"/>
      <protection locked="0" hidden="1"/>
    </xf>
    <xf numFmtId="0" fontId="0" fillId="6" borderId="8" xfId="0" applyFill="1" applyBorder="1" applyAlignment="1" applyProtection="1">
      <alignment horizontal="left"/>
      <protection hidden="1"/>
    </xf>
    <xf numFmtId="0" fontId="0" fillId="6" borderId="9" xfId="0" applyFill="1" applyBorder="1" applyAlignment="1" applyProtection="1">
      <alignment horizontal="left"/>
      <protection hidden="1"/>
    </xf>
    <xf numFmtId="0" fontId="0" fillId="6" borderId="10" xfId="0" applyFill="1" applyBorder="1" applyAlignment="1" applyProtection="1">
      <alignment horizontal="left"/>
      <protection hidden="1"/>
    </xf>
    <xf numFmtId="0" fontId="13" fillId="0" borderId="0" xfId="4" applyBorder="1" applyAlignment="1" applyProtection="1">
      <alignment horizontal="left"/>
      <protection hidden="1"/>
    </xf>
    <xf numFmtId="0" fontId="7" fillId="2" borderId="12" xfId="0" applyFont="1" applyFill="1" applyBorder="1" applyAlignment="1" applyProtection="1">
      <alignment horizontal="center" vertical="center" wrapText="1"/>
      <protection hidden="1"/>
    </xf>
    <xf numFmtId="0" fontId="7" fillId="2" borderId="13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7" fillId="2" borderId="16" xfId="0" applyFont="1" applyFill="1" applyBorder="1" applyAlignment="1" applyProtection="1">
      <alignment horizontal="center" vertical="center" wrapText="1"/>
      <protection hidden="1"/>
    </xf>
    <xf numFmtId="0" fontId="7" fillId="2" borderId="17" xfId="0" applyFont="1" applyFill="1" applyBorder="1" applyAlignment="1" applyProtection="1">
      <alignment horizontal="center" vertical="center" wrapText="1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7" fillId="2" borderId="19" xfId="0" applyFont="1" applyFill="1" applyBorder="1" applyAlignment="1" applyProtection="1">
      <alignment horizontal="center" vertical="center" wrapText="1"/>
      <protection hidden="1"/>
    </xf>
    <xf numFmtId="0" fontId="6" fillId="7" borderId="8" xfId="0" applyFont="1" applyFill="1" applyBorder="1" applyAlignment="1" applyProtection="1">
      <alignment horizontal="center"/>
      <protection hidden="1"/>
    </xf>
    <xf numFmtId="0" fontId="6" fillId="7" borderId="10" xfId="0" applyFont="1" applyFill="1" applyBorder="1" applyAlignment="1" applyProtection="1">
      <alignment horizontal="center"/>
      <protection hidden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07E350"/>
      <color rgb="FFFFFF00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hyperlink" Target="http://www.facebook.com/ContadorContado" TargetMode="External"/><Relationship Id="rId1" Type="http://schemas.openxmlformats.org/officeDocument/2006/relationships/hyperlink" Target="http://contadorcontado.com/category/calculadoras-fiscales/" TargetMode="External"/><Relationship Id="rId4" Type="http://schemas.openxmlformats.org/officeDocument/2006/relationships/hyperlink" Target="https://youtu.be/AJ0gF9Te1V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438151</xdr:colOff>
      <xdr:row>28</xdr:row>
      <xdr:rowOff>28575</xdr:rowOff>
    </xdr:from>
    <xdr:to>
      <xdr:col>1</xdr:col>
      <xdr:colOff>1095375</xdr:colOff>
      <xdr:row>31</xdr:row>
      <xdr:rowOff>152400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8151" y="3467100"/>
          <a:ext cx="2200274" cy="723900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 b="1" i="1"/>
            <a:t>Más calculadoras</a:t>
          </a:r>
          <a:r>
            <a:rPr lang="es-MX" sz="1800" b="1" i="1" baseline="0"/>
            <a:t> </a:t>
          </a:r>
        </a:p>
        <a:p>
          <a:pPr algn="ctr"/>
          <a:r>
            <a:rPr lang="es-MX" sz="1800" b="1" i="1"/>
            <a:t>click aquí</a:t>
          </a:r>
        </a:p>
        <a:p>
          <a:pPr algn="l"/>
          <a:endParaRPr lang="es-MX" sz="1100"/>
        </a:p>
      </xdr:txBody>
    </xdr:sp>
    <xdr:clientData/>
  </xdr:twoCellAnchor>
  <xdr:twoCellAnchor>
    <xdr:from>
      <xdr:col>5</xdr:col>
      <xdr:colOff>570135</xdr:colOff>
      <xdr:row>28</xdr:row>
      <xdr:rowOff>40822</xdr:rowOff>
    </xdr:from>
    <xdr:to>
      <xdr:col>8</xdr:col>
      <xdr:colOff>53065</xdr:colOff>
      <xdr:row>31</xdr:row>
      <xdr:rowOff>122464</xdr:rowOff>
    </xdr:to>
    <xdr:sp macro="" textlink="">
      <xdr:nvSpPr>
        <xdr:cNvPr id="4" name="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37610" y="3393622"/>
          <a:ext cx="1902280" cy="681717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 b="1" i="1"/>
            <a:t>Visitanos en FACEBOOK</a:t>
          </a:r>
        </a:p>
      </xdr:txBody>
    </xdr:sp>
    <xdr:clientData/>
  </xdr:twoCellAnchor>
  <xdr:twoCellAnchor editAs="oneCell">
    <xdr:from>
      <xdr:col>0</xdr:col>
      <xdr:colOff>317499</xdr:colOff>
      <xdr:row>0</xdr:row>
      <xdr:rowOff>0</xdr:rowOff>
    </xdr:from>
    <xdr:to>
      <xdr:col>6</xdr:col>
      <xdr:colOff>687915</xdr:colOff>
      <xdr:row>6</xdr:row>
      <xdr:rowOff>74084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99" y="0"/>
          <a:ext cx="8456083" cy="1227667"/>
        </a:xfrm>
        <a:prstGeom prst="roundRect">
          <a:avLst>
            <a:gd name="adj" fmla="val 16667"/>
          </a:avLst>
        </a:prstGeom>
        <a:ln>
          <a:solidFill>
            <a:srgbClr val="00B0F0"/>
          </a:solidFill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>
    <xdr:from>
      <xdr:col>5</xdr:col>
      <xdr:colOff>581025</xdr:colOff>
      <xdr:row>34</xdr:row>
      <xdr:rowOff>95250</xdr:rowOff>
    </xdr:from>
    <xdr:to>
      <xdr:col>8</xdr:col>
      <xdr:colOff>63955</xdr:colOff>
      <xdr:row>37</xdr:row>
      <xdr:rowOff>176892</xdr:rowOff>
    </xdr:to>
    <xdr:sp macro="" textlink="">
      <xdr:nvSpPr>
        <xdr:cNvPr id="6" name="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A545260-CF77-4EFE-94E8-6EBEABD862F1}"/>
            </a:ext>
          </a:extLst>
        </xdr:cNvPr>
        <xdr:cNvSpPr/>
      </xdr:nvSpPr>
      <xdr:spPr>
        <a:xfrm>
          <a:off x="7639050" y="6943725"/>
          <a:ext cx="2007055" cy="681717"/>
        </a:xfrm>
        <a:prstGeom prst="rect">
          <a:avLst/>
        </a:prstGeom>
        <a:gradFill>
          <a:gsLst>
            <a:gs pos="100000">
              <a:srgbClr val="FF0000"/>
            </a:gs>
            <a:gs pos="10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 b="1" i="1"/>
            <a:t>Visita</a:t>
          </a:r>
          <a:r>
            <a:rPr lang="es-MX" sz="1800" b="1" i="1" baseline="0"/>
            <a:t> nuestro canal de </a:t>
          </a:r>
          <a:r>
            <a:rPr lang="es-MX" sz="1800" b="1" i="1"/>
            <a:t>Youtube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adorcontado.com/2015/12/01/incidencias-que-afectan-el-aguinald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F55"/>
  <sheetViews>
    <sheetView showGridLines="0" tabSelected="1" zoomScaleNormal="100" workbookViewId="0">
      <selection activeCell="E16" sqref="E16"/>
    </sheetView>
  </sheetViews>
  <sheetFormatPr baseColWidth="10" defaultColWidth="0" defaultRowHeight="15" zeroHeight="1" x14ac:dyDescent="0.25"/>
  <cols>
    <col min="1" max="1" width="23.140625" style="1" customWidth="1"/>
    <col min="2" max="2" width="24.5703125" style="1" customWidth="1"/>
    <col min="3" max="3" width="21.7109375" style="1" customWidth="1"/>
    <col min="4" max="4" width="11.42578125" style="1" customWidth="1"/>
    <col min="5" max="5" width="25" style="1" customWidth="1"/>
    <col min="6" max="6" width="15.28515625" style="1" customWidth="1"/>
    <col min="7" max="7" width="15.85546875" style="1" customWidth="1"/>
    <col min="8" max="8" width="6.7109375" style="1" customWidth="1"/>
    <col min="9" max="9" width="2.5703125" style="1" customWidth="1"/>
    <col min="10" max="13" width="11.42578125" style="1" hidden="1"/>
    <col min="14" max="14" width="11.28515625" style="1" hidden="1"/>
    <col min="15" max="15" width="11.42578125" style="1" hidden="1"/>
    <col min="16" max="16" width="5.42578125" style="1" hidden="1"/>
    <col min="17" max="17" width="22.85546875" style="1" hidden="1"/>
    <col min="18" max="18" width="11.42578125" style="1" hidden="1"/>
    <col min="19" max="19" width="4.42578125" style="1" hidden="1"/>
    <col min="20" max="20" width="22.85546875" style="1" hidden="1"/>
    <col min="21" max="26" width="11.42578125" style="1" hidden="1"/>
    <col min="27" max="27" width="4.7109375" style="1" hidden="1"/>
    <col min="28" max="16384" width="11.42578125" style="1" hidden="1"/>
  </cols>
  <sheetData>
    <row r="1" spans="1:32" x14ac:dyDescent="0.25"/>
    <row r="2" spans="1:32" x14ac:dyDescent="0.25"/>
    <row r="3" spans="1:32" x14ac:dyDescent="0.25">
      <c r="K3" s="27">
        <v>43831</v>
      </c>
      <c r="L3" s="1" t="s">
        <v>27</v>
      </c>
    </row>
    <row r="4" spans="1:32" x14ac:dyDescent="0.25">
      <c r="K4" s="27">
        <v>44196</v>
      </c>
      <c r="L4" s="1" t="s">
        <v>28</v>
      </c>
    </row>
    <row r="5" spans="1:32" ht="15.75" thickBot="1" x14ac:dyDescent="0.3"/>
    <row r="6" spans="1:32" x14ac:dyDescent="0.25">
      <c r="O6" s="33" t="s">
        <v>64</v>
      </c>
      <c r="P6" s="34"/>
      <c r="Q6" s="35"/>
      <c r="R6" s="33"/>
      <c r="S6" s="34"/>
      <c r="T6" s="35"/>
      <c r="W6" s="1" t="s">
        <v>63</v>
      </c>
    </row>
    <row r="7" spans="1:32" x14ac:dyDescent="0.25">
      <c r="O7" s="36"/>
      <c r="P7" s="3"/>
      <c r="Q7" s="37"/>
      <c r="R7" s="36"/>
      <c r="S7" s="3"/>
      <c r="T7" s="37"/>
    </row>
    <row r="8" spans="1:32" x14ac:dyDescent="0.25">
      <c r="K8" s="27">
        <f>IF(E22&lt;K3,K3,E22)</f>
        <v>43831</v>
      </c>
      <c r="L8" s="4" t="str">
        <f>IF(E24="DD/MM/AAAA",(K4-E24)+1,"")</f>
        <v/>
      </c>
      <c r="O8" s="38">
        <f>+D11+E27</f>
        <v>15013.698630136987</v>
      </c>
      <c r="P8" s="3"/>
      <c r="Q8" s="37"/>
      <c r="R8" s="45">
        <f>+D11</f>
        <v>10000</v>
      </c>
      <c r="S8" s="3"/>
      <c r="T8" s="37"/>
      <c r="W8" s="1" t="s">
        <v>46</v>
      </c>
      <c r="X8" s="4">
        <f>+(E32/365)*30.4</f>
        <v>200.49757808219178</v>
      </c>
      <c r="Z8" s="1" t="s">
        <v>51</v>
      </c>
    </row>
    <row r="9" spans="1:32" ht="18.75" x14ac:dyDescent="0.3">
      <c r="B9" s="61" t="s">
        <v>66</v>
      </c>
      <c r="C9" s="61"/>
      <c r="D9" s="61"/>
      <c r="E9" s="61"/>
      <c r="F9" s="61"/>
      <c r="G9" s="22"/>
      <c r="O9" s="38">
        <f>+O8-E30</f>
        <v>12407.298630136987</v>
      </c>
      <c r="P9" s="3"/>
      <c r="Q9" s="37" t="s">
        <v>45</v>
      </c>
      <c r="R9" s="36"/>
      <c r="S9" s="3"/>
      <c r="T9" s="37"/>
      <c r="W9" s="1" t="s">
        <v>47</v>
      </c>
      <c r="X9" s="7">
        <f>+X8+D11</f>
        <v>10200.497578082191</v>
      </c>
      <c r="Z9" s="4">
        <f>VLOOKUP(X9,Hoja1!$B$9:$E$19,1)</f>
        <v>10031.08</v>
      </c>
      <c r="AA9" s="1" t="s">
        <v>37</v>
      </c>
      <c r="AB9" s="1" t="s">
        <v>31</v>
      </c>
      <c r="AD9" s="4">
        <f>VLOOKUP(D11,Hoja1!$B$9:$E$19,1)</f>
        <v>8629.2099999999991</v>
      </c>
      <c r="AE9" s="1" t="s">
        <v>37</v>
      </c>
      <c r="AF9" s="1" t="s">
        <v>31</v>
      </c>
    </row>
    <row r="10" spans="1:32" ht="15.75" thickBot="1" x14ac:dyDescent="0.3">
      <c r="B10" s="2"/>
      <c r="C10" s="2"/>
      <c r="D10" s="2"/>
      <c r="E10" s="2"/>
      <c r="F10" s="2"/>
      <c r="G10" s="9"/>
      <c r="K10" s="1" t="s">
        <v>29</v>
      </c>
      <c r="O10" s="36">
        <f>VLOOKUP(O9,Hoja1!$B$9:$E$19,1)</f>
        <v>12009.95</v>
      </c>
      <c r="P10" s="1" t="s">
        <v>37</v>
      </c>
      <c r="Q10" s="3" t="s">
        <v>31</v>
      </c>
      <c r="R10" s="36">
        <f>VLOOKUP(R8,Hoja1!$B$9:$E$19,1)</f>
        <v>8629.2099999999991</v>
      </c>
      <c r="S10" s="1" t="s">
        <v>37</v>
      </c>
      <c r="T10" s="37" t="s">
        <v>31</v>
      </c>
      <c r="W10" s="1" t="s">
        <v>47</v>
      </c>
      <c r="X10" s="7">
        <f>+Z14</f>
        <v>947.61962999232867</v>
      </c>
      <c r="Z10" s="7">
        <f>+X9-Z9</f>
        <v>169.41757808219154</v>
      </c>
      <c r="AA10" s="1" t="s">
        <v>38</v>
      </c>
      <c r="AB10" s="1" t="s">
        <v>32</v>
      </c>
      <c r="AD10" s="4">
        <f>+D11-AD9</f>
        <v>1370.7900000000009</v>
      </c>
      <c r="AE10" s="1" t="s">
        <v>38</v>
      </c>
      <c r="AF10" s="1" t="s">
        <v>32</v>
      </c>
    </row>
    <row r="11" spans="1:32" ht="23.25" customHeight="1" thickBot="1" x14ac:dyDescent="0.3">
      <c r="A11" s="25" t="s">
        <v>5</v>
      </c>
      <c r="B11" s="76" t="s">
        <v>19</v>
      </c>
      <c r="C11" s="76"/>
      <c r="D11" s="85">
        <v>10000</v>
      </c>
      <c r="E11" s="86"/>
      <c r="F11" s="25"/>
      <c r="H11" s="28"/>
      <c r="J11" s="1">
        <v>4</v>
      </c>
      <c r="K11" s="30">
        <f>IF(E16="si",15,"")</f>
        <v>15</v>
      </c>
      <c r="L11" s="1">
        <v>365</v>
      </c>
      <c r="O11" s="38">
        <f>+O9-O10</f>
        <v>397.34863013698669</v>
      </c>
      <c r="P11" s="1" t="s">
        <v>38</v>
      </c>
      <c r="Q11" s="3" t="s">
        <v>32</v>
      </c>
      <c r="R11" s="38">
        <f>+R8-R10</f>
        <v>1370.7900000000009</v>
      </c>
      <c r="S11" s="1" t="s">
        <v>38</v>
      </c>
      <c r="T11" s="37" t="s">
        <v>32</v>
      </c>
      <c r="W11" s="1" t="s">
        <v>48</v>
      </c>
      <c r="X11" s="7">
        <f>+Z14-AD14</f>
        <v>35.333229992328484</v>
      </c>
      <c r="Z11" s="1">
        <f>VLOOKUP(X9,Hoja1!$B$9:$E$19,4)</f>
        <v>0.1792</v>
      </c>
      <c r="AA11" s="1" t="s">
        <v>39</v>
      </c>
      <c r="AB11" s="1" t="s">
        <v>33</v>
      </c>
      <c r="AD11" s="1">
        <f>VLOOKUP(D11,Hoja1!$B$9:$E$19,4)</f>
        <v>0.16</v>
      </c>
      <c r="AE11" s="1" t="s">
        <v>39</v>
      </c>
      <c r="AF11" s="1" t="s">
        <v>33</v>
      </c>
    </row>
    <row r="12" spans="1:32" ht="15.75" thickBot="1" x14ac:dyDescent="0.3">
      <c r="O12" s="43">
        <f>VLOOKUP(O9,Hoja1!$B$9:$E$19,4)</f>
        <v>0.21360000000000001</v>
      </c>
      <c r="P12" s="1" t="s">
        <v>39</v>
      </c>
      <c r="Q12" s="3" t="s">
        <v>33</v>
      </c>
      <c r="R12" s="42">
        <f>VLOOKUP(R8,Hoja1!$B$9:$E$19,4)</f>
        <v>0.16</v>
      </c>
      <c r="S12" s="1" t="s">
        <v>39</v>
      </c>
      <c r="T12" s="37" t="s">
        <v>33</v>
      </c>
      <c r="W12" s="1" t="s">
        <v>50</v>
      </c>
      <c r="X12" s="1">
        <f>IF(E32&lt;=0,0,X11/X8)</f>
        <v>0.17622771472004523</v>
      </c>
      <c r="Z12" s="4">
        <f>VLOOKUP(X9,Hoja1!$B$9:$E$19,3)</f>
        <v>917.26</v>
      </c>
      <c r="AA12" s="1" t="s">
        <v>40</v>
      </c>
      <c r="AB12" s="1" t="s">
        <v>34</v>
      </c>
      <c r="AD12" s="4">
        <f>VLOOKUP(D11,Hoja1!$B$9:$E$19,3)</f>
        <v>692.96</v>
      </c>
      <c r="AE12" s="1" t="s">
        <v>40</v>
      </c>
      <c r="AF12" s="1" t="s">
        <v>34</v>
      </c>
    </row>
    <row r="13" spans="1:32" ht="15.75" thickBot="1" x14ac:dyDescent="0.3">
      <c r="C13" s="87" t="str">
        <f>IF(D11="","Indica un sueldo para continuar.",IF(D11&lt;=0,"Indica un sueldo para continuar.",O27))</f>
        <v>Opción de calcúlo de Impuesto del Aguinaldo.</v>
      </c>
      <c r="D13" s="88"/>
      <c r="E13" s="89"/>
      <c r="G13" s="23"/>
      <c r="O13" s="36">
        <f>VLOOKUP(O9,Hoja1!$B$9:$E$19,3)</f>
        <v>1271.8699999999999</v>
      </c>
      <c r="P13" s="1" t="s">
        <v>40</v>
      </c>
      <c r="Q13" s="3" t="s">
        <v>34</v>
      </c>
      <c r="R13" s="36">
        <f>VLOOKUP(R8,Hoja1!$B$9:$E$19,3)</f>
        <v>692.96</v>
      </c>
      <c r="S13" s="1" t="s">
        <v>40</v>
      </c>
      <c r="T13" s="37" t="s">
        <v>34</v>
      </c>
      <c r="W13" s="1" t="s">
        <v>49</v>
      </c>
      <c r="X13" s="4">
        <f>TRUNC(E32*X12,2)</f>
        <v>424.23</v>
      </c>
      <c r="Z13" s="1">
        <f>VLOOKUP(X9,Hoja1!$B$25:$D$35,3)</f>
        <v>0</v>
      </c>
      <c r="AA13" s="1" t="s">
        <v>41</v>
      </c>
      <c r="AB13" s="1" t="s">
        <v>35</v>
      </c>
      <c r="AD13" s="1">
        <f>VLOOKUP(D11,Hoja1!$B$25:$D$35,3)</f>
        <v>0</v>
      </c>
      <c r="AE13" s="1" t="s">
        <v>41</v>
      </c>
      <c r="AF13" s="1" t="s">
        <v>35</v>
      </c>
    </row>
    <row r="14" spans="1:32" ht="15.75" thickBot="1" x14ac:dyDescent="0.3">
      <c r="C14" s="67" t="s">
        <v>6</v>
      </c>
      <c r="D14" s="68"/>
      <c r="E14" s="15" t="s">
        <v>56</v>
      </c>
      <c r="F14" s="3"/>
      <c r="G14" s="24"/>
      <c r="K14" s="29">
        <f>(K4-K8)+1</f>
        <v>366</v>
      </c>
      <c r="L14" s="1">
        <f>IF(E16="no",E18,K11)</f>
        <v>15</v>
      </c>
      <c r="O14" s="36">
        <f>VLOOKUP(O9,Hoja1!$B$25:$D$35,3)</f>
        <v>0</v>
      </c>
      <c r="P14" s="1" t="s">
        <v>41</v>
      </c>
      <c r="Q14" s="3" t="s">
        <v>35</v>
      </c>
      <c r="R14" s="36">
        <f>VLOOKUP(R8,Hoja1!$B$25:$D$35,3)</f>
        <v>0</v>
      </c>
      <c r="S14" s="1" t="s">
        <v>41</v>
      </c>
      <c r="T14" s="37" t="s">
        <v>35</v>
      </c>
      <c r="Z14" s="4">
        <f>+((Z10*Z11)+Z12)-Z13</f>
        <v>947.61962999232867</v>
      </c>
      <c r="AA14" s="1" t="s">
        <v>38</v>
      </c>
      <c r="AB14" s="1" t="s">
        <v>42</v>
      </c>
      <c r="AD14" s="4">
        <f>+((AD10*AD11)+AD12)-AD13</f>
        <v>912.28640000000019</v>
      </c>
      <c r="AE14" s="1" t="s">
        <v>38</v>
      </c>
      <c r="AF14" s="1" t="s">
        <v>42</v>
      </c>
    </row>
    <row r="15" spans="1:32" ht="15.75" thickBot="1" x14ac:dyDescent="0.3">
      <c r="C15" s="87" t="str">
        <f>IF(E14="","Elige una opción del punto 2.",IF(E14="elige una opción","Elige una opción del punto 2.","Aguinaldo minimo de ley."))</f>
        <v>Aguinaldo minimo de ley.</v>
      </c>
      <c r="D15" s="88"/>
      <c r="E15" s="89"/>
      <c r="K15" s="1">
        <f>+E24</f>
        <v>0</v>
      </c>
      <c r="O15" s="44">
        <f>(((O11*O12)+O13)-O14)</f>
        <v>1356.7436673972602</v>
      </c>
      <c r="P15" s="1" t="s">
        <v>38</v>
      </c>
      <c r="Q15" s="3" t="s">
        <v>36</v>
      </c>
      <c r="R15" s="44">
        <f>(((R11*R12)+R13)-R14)</f>
        <v>912.28640000000019</v>
      </c>
      <c r="S15" s="1" t="s">
        <v>38</v>
      </c>
      <c r="T15" s="37" t="s">
        <v>42</v>
      </c>
    </row>
    <row r="16" spans="1:32" ht="15.75" thickBot="1" x14ac:dyDescent="0.3">
      <c r="C16" s="67" t="s">
        <v>8</v>
      </c>
      <c r="D16" s="68">
        <v>3</v>
      </c>
      <c r="E16" s="26" t="s">
        <v>1</v>
      </c>
      <c r="K16" s="1">
        <f>+K14-K15</f>
        <v>366</v>
      </c>
      <c r="L16" s="1">
        <f>+K16*L14/L11</f>
        <v>15.04109589041096</v>
      </c>
      <c r="O16" s="44">
        <f>+R15</f>
        <v>912.28640000000019</v>
      </c>
      <c r="P16" s="3" t="s">
        <v>37</v>
      </c>
      <c r="Q16" s="37" t="s">
        <v>43</v>
      </c>
      <c r="R16" s="36"/>
      <c r="S16" s="3"/>
      <c r="T16" s="37"/>
    </row>
    <row r="17" spans="2:20" ht="15.75" thickBot="1" x14ac:dyDescent="0.3">
      <c r="C17" s="87" t="str">
        <f>IF(E16="Elige una opción","Elige una opción del punto 3.",IF(E16="si","Si tu respuesta fue sí en el punto 3, pasa al punto 5.",IF(E16="NO","Indica los dias de aguinaldo que te corresponden.","Elige una opción del punto 3.")))</f>
        <v>Si tu respuesta fue sí en el punto 3, pasa al punto 5.</v>
      </c>
      <c r="D17" s="88"/>
      <c r="E17" s="89"/>
      <c r="O17" s="38">
        <f>TRUNC(O15-O16,2)</f>
        <v>444.45</v>
      </c>
      <c r="P17" s="3" t="s">
        <v>38</v>
      </c>
      <c r="Q17" s="37" t="s">
        <v>44</v>
      </c>
      <c r="R17" s="36"/>
      <c r="S17" s="3"/>
      <c r="T17" s="37"/>
    </row>
    <row r="18" spans="2:20" ht="15.75" thickBot="1" x14ac:dyDescent="0.3">
      <c r="C18" s="67" t="s">
        <v>22</v>
      </c>
      <c r="D18" s="68"/>
      <c r="E18" s="50">
        <f>IF(E16="si",15,"")</f>
        <v>15</v>
      </c>
      <c r="O18" s="39"/>
      <c r="P18" s="40"/>
      <c r="Q18" s="41"/>
      <c r="R18" s="39"/>
      <c r="S18" s="40"/>
      <c r="T18" s="41"/>
    </row>
    <row r="19" spans="2:20" ht="15.75" thickBot="1" x14ac:dyDescent="0.3">
      <c r="C19" s="87" t="str">
        <f>IF(E16="","Elige una opción del punto 3.",IF(E16="Elige una opción","Elige una opción del punto 3.","Trabajaste los 365 días del año?"))</f>
        <v>Trabajaste los 365 días del año?</v>
      </c>
      <c r="D19" s="88"/>
      <c r="E19" s="89"/>
    </row>
    <row r="20" spans="2:20" ht="15.75" thickBot="1" x14ac:dyDescent="0.3">
      <c r="C20" s="67" t="s">
        <v>23</v>
      </c>
      <c r="D20" s="68"/>
      <c r="E20" s="26" t="s">
        <v>1</v>
      </c>
      <c r="J20" s="1">
        <v>6</v>
      </c>
      <c r="K20" s="30">
        <f>IF(E20="si",K3," ")</f>
        <v>43831</v>
      </c>
    </row>
    <row r="21" spans="2:20" ht="15.75" thickBot="1" x14ac:dyDescent="0.3">
      <c r="C21" s="87" t="str">
        <f>IF(E20="","Elige una opción del punto 5.",IF(E20="elige una opción","Elige una opción del punto 5.",IF(E20="si","Fecha de inicio de Año", "Indica tu fecha de ingreso.")))</f>
        <v>Fecha de inicio de Año</v>
      </c>
      <c r="D21" s="88"/>
      <c r="E21" s="89"/>
    </row>
    <row r="22" spans="2:20" ht="15.75" thickBot="1" x14ac:dyDescent="0.3">
      <c r="C22" s="65" t="str">
        <f>IF(E20="no","6.","")</f>
        <v/>
      </c>
      <c r="D22" s="66"/>
      <c r="E22" s="51">
        <f>IF(E20="si",K3," ")</f>
        <v>43831</v>
      </c>
    </row>
    <row r="23" spans="2:20" ht="15.75" thickBot="1" x14ac:dyDescent="0.3">
      <c r="B23" s="31" t="str">
        <f>IF(E20="no","*","")</f>
        <v/>
      </c>
      <c r="C23" s="62" t="str">
        <f>IF(E20="","Elige una opción del punto 5.",IF(E20="elige una opción","Elige una opción del punto 5.",IF(E20="Si","OBSERVA TU RESULTADO AL FINAL DE LA CALCULADORA","Indica los dias de tus enfermedades generales y faltas del año.")))</f>
        <v>OBSERVA TU RESULTADO AL FINAL DE LA CALCULADORA</v>
      </c>
      <c r="D23" s="63"/>
      <c r="E23" s="64"/>
    </row>
    <row r="24" spans="2:20" ht="15.75" thickBot="1" x14ac:dyDescent="0.3">
      <c r="C24" s="65" t="str">
        <f>IF(E20="no","7.","")</f>
        <v/>
      </c>
      <c r="D24" s="66"/>
      <c r="E24" s="52"/>
    </row>
    <row r="25" spans="2:20" x14ac:dyDescent="0.25">
      <c r="B25" s="31" t="str">
        <f>IF(E20="no","*","")</f>
        <v/>
      </c>
      <c r="C25" s="90" t="str">
        <f>IF(E20="no","Si no conoces los dias que NO cuentan para el aguinaldo da click aquí.","")</f>
        <v/>
      </c>
      <c r="D25" s="90"/>
      <c r="E25" s="90"/>
      <c r="F25" s="90"/>
    </row>
    <row r="26" spans="2:20" ht="15.75" thickBot="1" x14ac:dyDescent="0.3">
      <c r="B26" s="31"/>
      <c r="C26" s="32"/>
      <c r="D26" s="32"/>
      <c r="E26" s="32"/>
      <c r="F26" s="47"/>
    </row>
    <row r="27" spans="2:20" x14ac:dyDescent="0.25">
      <c r="B27" s="69"/>
      <c r="C27" s="79" t="s">
        <v>20</v>
      </c>
      <c r="D27" s="80"/>
      <c r="E27" s="83">
        <f>IFERROR(IF(E18="","",(D11/30)*L16),"")</f>
        <v>5013.6986301369861</v>
      </c>
      <c r="I27" s="4"/>
      <c r="J27" s="4"/>
      <c r="K27" s="4"/>
      <c r="L27" s="4"/>
      <c r="M27" s="4"/>
      <c r="O27" s="5" t="s">
        <v>30</v>
      </c>
    </row>
    <row r="28" spans="2:20" ht="15.75" thickBot="1" x14ac:dyDescent="0.3">
      <c r="B28" s="69"/>
      <c r="C28" s="81"/>
      <c r="D28" s="82"/>
      <c r="E28" s="84"/>
      <c r="F28" s="46"/>
      <c r="M28" s="6"/>
      <c r="O28" s="5" t="s">
        <v>4</v>
      </c>
      <c r="Q28" s="1" t="str">
        <f>+O28</f>
        <v>Elige una opción</v>
      </c>
    </row>
    <row r="29" spans="2:20" ht="15.75" thickBot="1" x14ac:dyDescent="0.3">
      <c r="C29" s="70"/>
      <c r="D29" s="71"/>
      <c r="E29" s="72"/>
      <c r="O29" s="5" t="s">
        <v>56</v>
      </c>
      <c r="Q29" s="1" t="str">
        <f>IF(C13="Indica un sueldo para continuar.","",O29)</f>
        <v>Art. 96 LISR</v>
      </c>
    </row>
    <row r="30" spans="2:20" ht="15.75" thickBot="1" x14ac:dyDescent="0.3">
      <c r="C30" s="77" t="s">
        <v>21</v>
      </c>
      <c r="D30" s="78"/>
      <c r="E30" s="48">
        <f>IF(D11="","",IF(D11=0,"",86.88*30))</f>
        <v>2606.3999999999996</v>
      </c>
      <c r="F30" s="4"/>
      <c r="M30" s="4"/>
      <c r="O30" s="5" t="s">
        <v>63</v>
      </c>
      <c r="Q30" s="1" t="str">
        <f>IF(C13="Indica un sueldo para continuar.","",O30)</f>
        <v>Art. 174 RISR</v>
      </c>
    </row>
    <row r="31" spans="2:20" ht="15.75" thickBot="1" x14ac:dyDescent="0.3">
      <c r="C31" s="73"/>
      <c r="D31" s="74"/>
      <c r="E31" s="75"/>
      <c r="F31" s="4"/>
      <c r="M31" s="4"/>
    </row>
    <row r="32" spans="2:20" ht="15.75" thickBot="1" x14ac:dyDescent="0.3">
      <c r="C32" s="77" t="s">
        <v>24</v>
      </c>
      <c r="D32" s="78"/>
      <c r="E32" s="48">
        <f>IFERROR(IF(E18="","",IF(E30&gt;E27,0,TRUNC(E27-E30,2))),"")</f>
        <v>2407.29</v>
      </c>
      <c r="F32" s="4"/>
      <c r="M32" s="4"/>
      <c r="O32" s="8">
        <v>0.95333332999999998</v>
      </c>
    </row>
    <row r="33" spans="2:26" ht="15.75" thickBot="1" x14ac:dyDescent="0.3">
      <c r="C33" s="73"/>
      <c r="D33" s="74"/>
      <c r="E33" s="75"/>
      <c r="F33" s="4"/>
      <c r="M33" s="4"/>
      <c r="N33" s="5"/>
    </row>
    <row r="34" spans="2:26" ht="15.75" thickBot="1" x14ac:dyDescent="0.3">
      <c r="C34" s="77" t="s">
        <v>58</v>
      </c>
      <c r="D34" s="78"/>
      <c r="E34" s="48" t="str">
        <f>IFERROR(IF(E14="Elige una opción","",IF(E14="Art. 174 RISR",X8,"N/A")),"")</f>
        <v>N/A</v>
      </c>
      <c r="F34" s="4"/>
      <c r="M34" s="4"/>
      <c r="N34" s="5"/>
      <c r="O34" s="9" t="s">
        <v>4</v>
      </c>
      <c r="Q34" s="1" t="str">
        <f>+O34</f>
        <v>Elige una opción</v>
      </c>
    </row>
    <row r="35" spans="2:26" ht="15.75" customHeight="1" thickBot="1" x14ac:dyDescent="0.35">
      <c r="C35" s="73"/>
      <c r="D35" s="74"/>
      <c r="E35" s="75"/>
      <c r="F35" s="4"/>
      <c r="M35" s="4"/>
      <c r="N35" s="10"/>
      <c r="O35" s="9" t="s">
        <v>1</v>
      </c>
      <c r="P35" s="10"/>
      <c r="Q35" s="1" t="str">
        <f>IF(C15="Elige una opción del punto 2.","",O35)</f>
        <v>SI</v>
      </c>
      <c r="R35" s="10"/>
      <c r="S35" s="10"/>
      <c r="T35" s="10"/>
      <c r="U35" s="10"/>
      <c r="V35" s="10"/>
      <c r="W35" s="10"/>
      <c r="X35" s="10"/>
      <c r="Y35" s="10"/>
      <c r="Z35" s="10"/>
    </row>
    <row r="36" spans="2:26" ht="15.75" customHeight="1" thickBot="1" x14ac:dyDescent="0.35">
      <c r="C36" s="77" t="s">
        <v>59</v>
      </c>
      <c r="D36" s="78"/>
      <c r="E36" s="48" t="str">
        <f>IFERROR(IF(E14="Elige una opción","",IF(E14="Art. 174 RISR",X10,"N/A")),"")</f>
        <v>N/A</v>
      </c>
      <c r="F36" s="4"/>
      <c r="M36" s="4"/>
      <c r="N36" s="10"/>
      <c r="O36" s="9" t="s">
        <v>0</v>
      </c>
      <c r="P36" s="10"/>
      <c r="Q36" s="1" t="str">
        <f>IF(C15="Elige una opción del punto 2.","",O36)</f>
        <v>NO</v>
      </c>
      <c r="R36" s="10"/>
      <c r="S36" s="10"/>
      <c r="T36" s="10"/>
      <c r="U36" s="10"/>
      <c r="V36" s="10"/>
      <c r="W36" s="10"/>
      <c r="X36" s="10"/>
      <c r="Y36" s="10"/>
      <c r="Z36" s="10"/>
    </row>
    <row r="37" spans="2:26" ht="15.75" customHeight="1" thickBot="1" x14ac:dyDescent="0.35">
      <c r="C37" s="73"/>
      <c r="D37" s="74"/>
      <c r="E37" s="75"/>
      <c r="F37" s="4"/>
      <c r="M37" s="4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2:26" ht="15.75" customHeight="1" thickBot="1" x14ac:dyDescent="0.3">
      <c r="C38" s="77" t="s">
        <v>60</v>
      </c>
      <c r="D38" s="78"/>
      <c r="E38" s="48" t="str">
        <f>IFERROR(IF(E14="Elige una opción","",IF(E14="Art. 174 RISR",X11,"N/A")),"")</f>
        <v>N/A</v>
      </c>
      <c r="F38" s="4"/>
      <c r="M38" s="4"/>
      <c r="O38" s="9" t="s">
        <v>4</v>
      </c>
      <c r="Q38" s="1" t="str">
        <f>+O38</f>
        <v>Elige una opción</v>
      </c>
    </row>
    <row r="39" spans="2:26" ht="15" customHeight="1" thickBot="1" x14ac:dyDescent="0.35">
      <c r="C39" s="73"/>
      <c r="D39" s="74"/>
      <c r="E39" s="75"/>
      <c r="F39" s="4"/>
      <c r="M39" s="4"/>
      <c r="O39" s="9" t="s">
        <v>1</v>
      </c>
      <c r="P39" s="10"/>
      <c r="Q39" s="1" t="str">
        <f>IF(C19="Elige una opción del punto 3.","",O39)</f>
        <v>SI</v>
      </c>
      <c r="R39" s="10"/>
    </row>
    <row r="40" spans="2:26" ht="15.75" customHeight="1" thickBot="1" x14ac:dyDescent="0.35">
      <c r="C40" s="77" t="s">
        <v>61</v>
      </c>
      <c r="D40" s="78"/>
      <c r="E40" s="48" t="str">
        <f>IFERROR(IF(E14="Elige una opción","",IF(E14="Art. 174 RISR",X13,"N/A")),"")</f>
        <v>N/A</v>
      </c>
      <c r="F40" s="4"/>
      <c r="M40" s="4"/>
      <c r="O40" s="9" t="s">
        <v>0</v>
      </c>
      <c r="P40" s="10"/>
      <c r="Q40" s="1" t="str">
        <f>IF(C19="Elige una opción del punto 3.","",O40)</f>
        <v>NO</v>
      </c>
      <c r="R40" s="10"/>
    </row>
    <row r="41" spans="2:26" ht="15.75" thickBot="1" x14ac:dyDescent="0.3">
      <c r="C41" s="73"/>
      <c r="D41" s="74"/>
      <c r="E41" s="75"/>
      <c r="F41" s="4"/>
      <c r="M41" s="4"/>
    </row>
    <row r="42" spans="2:26" ht="15.75" thickBot="1" x14ac:dyDescent="0.3">
      <c r="C42" s="77" t="s">
        <v>62</v>
      </c>
      <c r="D42" s="78"/>
      <c r="E42" s="49" t="str">
        <f>IFERROR(IF(E14="Elige una opción","",IF(E14="Art. 174 RISR",X12,"N/A")),"")</f>
        <v>N/A</v>
      </c>
      <c r="F42" s="4"/>
      <c r="M42" s="4"/>
      <c r="N42" s="1" t="s">
        <v>26</v>
      </c>
    </row>
    <row r="43" spans="2:26" ht="15.75" thickBot="1" x14ac:dyDescent="0.3">
      <c r="C43" s="73"/>
      <c r="D43" s="74"/>
      <c r="E43" s="75"/>
      <c r="F43" s="4"/>
      <c r="M43" s="4"/>
    </row>
    <row r="44" spans="2:26" ht="15.75" thickBot="1" x14ac:dyDescent="0.3">
      <c r="C44" s="77" t="s">
        <v>52</v>
      </c>
      <c r="D44" s="78"/>
      <c r="E44" s="48">
        <f>IFERROR(IF(E14="Art. 174 RISR",X13,O17),"")</f>
        <v>444.45</v>
      </c>
      <c r="F44" s="4"/>
      <c r="M44" s="4"/>
    </row>
    <row r="45" spans="2:26" ht="15.75" thickBot="1" x14ac:dyDescent="0.3">
      <c r="C45" s="70"/>
      <c r="D45" s="71"/>
      <c r="E45" s="72"/>
      <c r="F45" s="4"/>
      <c r="H45" s="11"/>
      <c r="M45" s="4"/>
      <c r="N45" s="1" t="s">
        <v>53</v>
      </c>
    </row>
    <row r="46" spans="2:26" ht="16.5" thickBot="1" x14ac:dyDescent="0.3">
      <c r="C46" s="100" t="s">
        <v>25</v>
      </c>
      <c r="D46" s="101"/>
      <c r="E46" s="60">
        <f>IFERROR(IF(D11=0,0,TRUNC(E27-E44,2)),"")</f>
        <v>4569.24</v>
      </c>
      <c r="F46" s="4"/>
      <c r="M46" s="4"/>
      <c r="N46" s="1" t="s">
        <v>54</v>
      </c>
    </row>
    <row r="47" spans="2:26" x14ac:dyDescent="0.25">
      <c r="N47" s="1" t="str">
        <f>+E14</f>
        <v>Art. 96 LISR</v>
      </c>
    </row>
    <row r="48" spans="2:26" x14ac:dyDescent="0.25">
      <c r="B48" s="59" t="s">
        <v>65</v>
      </c>
      <c r="N48" s="1" t="s">
        <v>55</v>
      </c>
    </row>
    <row r="49" spans="2:15" s="13" customFormat="1" ht="16.5" thickBot="1" x14ac:dyDescent="0.3">
      <c r="B49" s="12" t="s">
        <v>2</v>
      </c>
      <c r="N49" s="1" t="s">
        <v>7</v>
      </c>
      <c r="O49" s="1"/>
    </row>
    <row r="50" spans="2:15" s="13" customFormat="1" ht="20.25" customHeight="1" thickTop="1" x14ac:dyDescent="0.25">
      <c r="B50" s="91" t="str">
        <f>IF(D11=0,"Es necesario que introduzca un valor en el SUELDO MENSUAL",IF(E46="","",(CONCATENATE(N42,D11,N45,E32,N46,N47,N48,E44,N49,E46,N50))))</f>
        <v>De un sueldo que usted gane por $10000 mensual, el cálculo arrojá un aguinaldo gravado por $ 2407.29 y se le retendrá ISR con base en el Art. 96 LISR por la cantidad de $444.45. Esto quiere decir que usted recibirá un total neto de $4569.24 pesos M/N.</v>
      </c>
      <c r="C50" s="92"/>
      <c r="D50" s="92"/>
      <c r="E50" s="92"/>
      <c r="F50" s="92"/>
      <c r="G50" s="92"/>
      <c r="H50" s="93"/>
      <c r="I50" s="14"/>
      <c r="J50" s="14"/>
      <c r="K50" s="14"/>
      <c r="L50" s="14"/>
      <c r="M50" s="14"/>
      <c r="N50" s="13" t="s">
        <v>3</v>
      </c>
    </row>
    <row r="51" spans="2:15" s="13" customFormat="1" x14ac:dyDescent="0.25">
      <c r="B51" s="94"/>
      <c r="C51" s="95"/>
      <c r="D51" s="95"/>
      <c r="E51" s="95"/>
      <c r="F51" s="95"/>
      <c r="G51" s="95"/>
      <c r="H51" s="96"/>
      <c r="I51" s="14"/>
      <c r="J51" s="14"/>
      <c r="K51" s="14"/>
      <c r="L51" s="14"/>
      <c r="M51" s="14"/>
    </row>
    <row r="52" spans="2:15" x14ac:dyDescent="0.25">
      <c r="B52" s="94"/>
      <c r="C52" s="95"/>
      <c r="D52" s="95"/>
      <c r="E52" s="95"/>
      <c r="F52" s="95"/>
      <c r="G52" s="95"/>
      <c r="H52" s="96"/>
      <c r="I52" s="14"/>
      <c r="J52" s="14"/>
      <c r="K52" s="14"/>
      <c r="L52" s="14"/>
      <c r="M52" s="14"/>
      <c r="O52" s="13"/>
    </row>
    <row r="53" spans="2:15" x14ac:dyDescent="0.25">
      <c r="B53" s="94"/>
      <c r="C53" s="95"/>
      <c r="D53" s="95"/>
      <c r="E53" s="95"/>
      <c r="F53" s="95"/>
      <c r="G53" s="95"/>
      <c r="H53" s="96"/>
      <c r="I53" s="14"/>
      <c r="J53" s="14"/>
      <c r="K53" s="14"/>
      <c r="L53" s="14"/>
      <c r="M53" s="14"/>
    </row>
    <row r="54" spans="2:15" ht="15.75" thickBot="1" x14ac:dyDescent="0.3">
      <c r="B54" s="97"/>
      <c r="C54" s="98"/>
      <c r="D54" s="98"/>
      <c r="E54" s="98"/>
      <c r="F54" s="98"/>
      <c r="G54" s="98"/>
      <c r="H54" s="99"/>
      <c r="I54" s="14"/>
      <c r="J54" s="14"/>
      <c r="K54" s="14"/>
      <c r="L54" s="14"/>
      <c r="M54" s="14"/>
    </row>
    <row r="55" spans="2:15" ht="15.75" thickTop="1" x14ac:dyDescent="0.25"/>
  </sheetData>
  <sheetProtection algorithmName="SHA-512" hashValue="DdDR6KRMspBpN2vcHF+Z2J4WxQOdNTDFQgxaFBoxPl9X0zwDUyLUYxkKcTkVhPEp0KjCASeB9m65cPGhdxbizQ==" saltValue="J9d+xNywn4xV2t6e77ULLw==" spinCount="100000" sheet="1" objects="1" scenarios="1"/>
  <mergeCells count="38">
    <mergeCell ref="B50:H54"/>
    <mergeCell ref="C46:D46"/>
    <mergeCell ref="C45:E45"/>
    <mergeCell ref="C43:E43"/>
    <mergeCell ref="C40:D40"/>
    <mergeCell ref="C44:D44"/>
    <mergeCell ref="C41:E41"/>
    <mergeCell ref="C38:D38"/>
    <mergeCell ref="C42:D42"/>
    <mergeCell ref="C15:E15"/>
    <mergeCell ref="C16:D16"/>
    <mergeCell ref="C17:E17"/>
    <mergeCell ref="C18:D18"/>
    <mergeCell ref="C19:E19"/>
    <mergeCell ref="C20:D20"/>
    <mergeCell ref="C35:E35"/>
    <mergeCell ref="C37:E37"/>
    <mergeCell ref="C39:E39"/>
    <mergeCell ref="C31:E31"/>
    <mergeCell ref="C32:D32"/>
    <mergeCell ref="C34:D34"/>
    <mergeCell ref="C36:D36"/>
    <mergeCell ref="C25:F25"/>
    <mergeCell ref="C29:E29"/>
    <mergeCell ref="C33:E33"/>
    <mergeCell ref="B11:C11"/>
    <mergeCell ref="C30:D30"/>
    <mergeCell ref="C27:D28"/>
    <mergeCell ref="E27:E28"/>
    <mergeCell ref="D11:E11"/>
    <mergeCell ref="C13:E13"/>
    <mergeCell ref="C21:E21"/>
    <mergeCell ref="C22:D22"/>
    <mergeCell ref="B9:F9"/>
    <mergeCell ref="C23:E23"/>
    <mergeCell ref="C24:D24"/>
    <mergeCell ref="C14:D14"/>
    <mergeCell ref="B27:B28"/>
  </mergeCells>
  <dataValidations count="6">
    <dataValidation type="list" allowBlank="1" showInputMessage="1" showErrorMessage="1" sqref="E14" xr:uid="{00000000-0002-0000-0000-000000000000}">
      <formula1>$Q$28:$Q$30</formula1>
    </dataValidation>
    <dataValidation allowBlank="1" showErrorMessage="1" prompt="Indica un Importe" sqref="E27:E28" xr:uid="{00000000-0002-0000-0000-000001000000}"/>
    <dataValidation type="list" allowBlank="1" showInputMessage="1" showErrorMessage="1" sqref="E16" xr:uid="{00000000-0002-0000-0000-000002000000}">
      <formula1>$Q$34:$Q$36</formula1>
    </dataValidation>
    <dataValidation type="whole" operator="greaterThan" allowBlank="1" showInputMessage="1" showErrorMessage="1" error="NO PUEDE TENER UN VALOR MENOR A 15" sqref="E18" xr:uid="{00000000-0002-0000-0000-000003000000}">
      <formula1>14</formula1>
    </dataValidation>
    <dataValidation type="date" allowBlank="1" showInputMessage="1" showErrorMessage="1" error="La fecha no puede ser menor a 01-01-2015 ni mayor a 31-12-2015_x000a_" sqref="E22" xr:uid="{00000000-0002-0000-0000-000004000000}">
      <formula1>43466</formula1>
      <formula2>43830</formula2>
    </dataValidation>
    <dataValidation type="list" allowBlank="1" showInputMessage="1" showErrorMessage="1" sqref="E20" xr:uid="{00000000-0002-0000-0000-000005000000}">
      <formula1>$Q$38:$Q$40</formula1>
    </dataValidation>
  </dataValidations>
  <hyperlinks>
    <hyperlink ref="C25" r:id="rId1" display="Si no conoces los dias que no cuentan para el aguinaldo da click aquí." xr:uid="{00000000-0004-0000-0000-000000000000}"/>
  </hyperlinks>
  <pageMargins left="0.7" right="0.7" top="0.75" bottom="0.75" header="0.3" footer="0.3"/>
  <pageSetup paperSize="9" orientation="portrait" r:id="rId2"/>
  <ignoredErrors>
    <ignoredError sqref="A11 C18 C16 C14 C20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35"/>
  <sheetViews>
    <sheetView workbookViewId="0">
      <selection activeCell="F15" sqref="F15"/>
    </sheetView>
  </sheetViews>
  <sheetFormatPr baseColWidth="10" defaultRowHeight="15" x14ac:dyDescent="0.25"/>
  <cols>
    <col min="3" max="3" width="15" bestFit="1" customWidth="1"/>
  </cols>
  <sheetData>
    <row r="3" spans="2:10" x14ac:dyDescent="0.25">
      <c r="B3" t="s">
        <v>18</v>
      </c>
    </row>
    <row r="4" spans="2:10" x14ac:dyDescent="0.25">
      <c r="B4" s="102" t="s">
        <v>9</v>
      </c>
      <c r="C4" s="102" t="s">
        <v>10</v>
      </c>
      <c r="D4" s="103" t="s">
        <v>11</v>
      </c>
      <c r="E4" s="104" t="s">
        <v>12</v>
      </c>
    </row>
    <row r="5" spans="2:10" x14ac:dyDescent="0.25">
      <c r="B5" s="102"/>
      <c r="C5" s="102"/>
      <c r="D5" s="103"/>
      <c r="E5" s="104"/>
    </row>
    <row r="6" spans="2:10" x14ac:dyDescent="0.25">
      <c r="B6" s="102"/>
      <c r="C6" s="102"/>
      <c r="D6" s="103"/>
      <c r="E6" s="104"/>
      <c r="G6" s="53"/>
      <c r="H6" s="53"/>
      <c r="I6" s="53"/>
      <c r="J6" s="53"/>
    </row>
    <row r="7" spans="2:10" x14ac:dyDescent="0.25">
      <c r="B7" s="102"/>
      <c r="C7" s="102"/>
      <c r="D7" s="103"/>
      <c r="E7" s="104"/>
      <c r="G7" s="54"/>
      <c r="H7" s="54"/>
      <c r="I7" s="54"/>
      <c r="J7" s="54"/>
    </row>
    <row r="8" spans="2:10" x14ac:dyDescent="0.25">
      <c r="B8" s="102"/>
      <c r="C8" s="102"/>
      <c r="D8" s="103"/>
      <c r="E8" s="104"/>
      <c r="G8" s="54"/>
      <c r="H8" s="55"/>
      <c r="I8" s="54"/>
      <c r="J8" s="54"/>
    </row>
    <row r="9" spans="2:10" x14ac:dyDescent="0.25">
      <c r="B9" s="16">
        <v>0.01</v>
      </c>
      <c r="C9" s="16">
        <v>578.52</v>
      </c>
      <c r="D9" s="16">
        <v>0</v>
      </c>
      <c r="E9" s="17">
        <v>1.9199999999999998E-2</v>
      </c>
      <c r="G9" s="55"/>
      <c r="H9" s="55"/>
      <c r="I9" s="54"/>
      <c r="J9" s="54"/>
    </row>
    <row r="10" spans="2:10" x14ac:dyDescent="0.25">
      <c r="B10" s="16">
        <v>578.53</v>
      </c>
      <c r="C10" s="16">
        <v>4910.18</v>
      </c>
      <c r="D10" s="16">
        <v>11.11</v>
      </c>
      <c r="E10" s="17">
        <v>6.4000000000000001E-2</v>
      </c>
      <c r="G10" s="55"/>
      <c r="H10" s="55"/>
      <c r="I10" s="54"/>
      <c r="J10" s="54"/>
    </row>
    <row r="11" spans="2:10" x14ac:dyDescent="0.25">
      <c r="B11" s="16">
        <v>4910.1899999999996</v>
      </c>
      <c r="C11" s="16">
        <v>8629.2000000000007</v>
      </c>
      <c r="D11" s="16">
        <v>288.33</v>
      </c>
      <c r="E11" s="17">
        <v>0.10879999999999999</v>
      </c>
      <c r="G11" s="55"/>
      <c r="H11" s="55"/>
      <c r="I11" s="54"/>
      <c r="J11" s="54"/>
    </row>
    <row r="12" spans="2:10" x14ac:dyDescent="0.25">
      <c r="B12" s="16">
        <v>8629.2099999999991</v>
      </c>
      <c r="C12" s="16">
        <v>10031.07</v>
      </c>
      <c r="D12" s="16">
        <v>692.96</v>
      </c>
      <c r="E12" s="17">
        <v>0.16</v>
      </c>
      <c r="G12" s="55"/>
      <c r="H12" s="55"/>
      <c r="I12" s="55"/>
      <c r="J12" s="54"/>
    </row>
    <row r="13" spans="2:10" x14ac:dyDescent="0.25">
      <c r="B13" s="16">
        <v>10031.08</v>
      </c>
      <c r="C13" s="16">
        <v>12009.94</v>
      </c>
      <c r="D13" s="16">
        <v>917.26</v>
      </c>
      <c r="E13" s="17">
        <v>0.1792</v>
      </c>
      <c r="G13" s="55"/>
      <c r="H13" s="55"/>
      <c r="I13" s="55"/>
      <c r="J13" s="54"/>
    </row>
    <row r="14" spans="2:10" x14ac:dyDescent="0.25">
      <c r="B14" s="16">
        <v>12009.95</v>
      </c>
      <c r="C14" s="16">
        <v>24222.31</v>
      </c>
      <c r="D14" s="16">
        <v>1271.8699999999999</v>
      </c>
      <c r="E14" s="17">
        <v>0.21360000000000001</v>
      </c>
      <c r="G14" s="55"/>
      <c r="H14" s="55"/>
      <c r="I14" s="55"/>
      <c r="J14" s="54"/>
    </row>
    <row r="15" spans="2:10" x14ac:dyDescent="0.25">
      <c r="B15" s="16">
        <v>24222.32</v>
      </c>
      <c r="C15" s="16">
        <v>38177.69</v>
      </c>
      <c r="D15" s="16">
        <v>3880.44</v>
      </c>
      <c r="E15" s="17">
        <v>0.23519999999999999</v>
      </c>
      <c r="G15" s="55"/>
      <c r="H15" s="55"/>
      <c r="I15" s="55"/>
      <c r="J15" s="54"/>
    </row>
    <row r="16" spans="2:10" x14ac:dyDescent="0.25">
      <c r="B16" s="16">
        <v>38177.699999999997</v>
      </c>
      <c r="C16" s="16">
        <v>72887.5</v>
      </c>
      <c r="D16" s="16">
        <v>7162.74</v>
      </c>
      <c r="E16" s="17">
        <v>0.3</v>
      </c>
      <c r="G16" s="55"/>
      <c r="H16" s="55"/>
      <c r="I16" s="55"/>
      <c r="J16" s="54"/>
    </row>
    <row r="17" spans="2:10" x14ac:dyDescent="0.25">
      <c r="B17" s="16">
        <v>72887.509999999995</v>
      </c>
      <c r="C17" s="16">
        <v>97183.33</v>
      </c>
      <c r="D17" s="16">
        <v>17575.689999999999</v>
      </c>
      <c r="E17" s="17">
        <v>0.32</v>
      </c>
      <c r="G17" s="55"/>
      <c r="H17" s="54"/>
      <c r="I17" s="55"/>
      <c r="J17" s="54"/>
    </row>
    <row r="18" spans="2:10" x14ac:dyDescent="0.25">
      <c r="B18" s="16">
        <v>97183.34</v>
      </c>
      <c r="C18" s="16">
        <v>291550</v>
      </c>
      <c r="D18" s="16">
        <v>25350.35</v>
      </c>
      <c r="E18" s="17">
        <v>0.34</v>
      </c>
    </row>
    <row r="19" spans="2:10" x14ac:dyDescent="0.25">
      <c r="B19">
        <v>291550.01</v>
      </c>
      <c r="C19" t="s">
        <v>57</v>
      </c>
      <c r="D19">
        <v>91435.02</v>
      </c>
      <c r="E19" s="17">
        <v>0.35</v>
      </c>
    </row>
    <row r="22" spans="2:10" ht="15.75" thickBot="1" x14ac:dyDescent="0.3">
      <c r="B22" t="s">
        <v>17</v>
      </c>
    </row>
    <row r="23" spans="2:10" ht="90.75" thickBot="1" x14ac:dyDescent="0.3">
      <c r="B23" s="18" t="s">
        <v>13</v>
      </c>
      <c r="C23" s="18" t="s">
        <v>14</v>
      </c>
      <c r="D23" s="18" t="s">
        <v>15</v>
      </c>
      <c r="F23" s="56"/>
      <c r="G23" s="56"/>
      <c r="H23" s="56"/>
    </row>
    <row r="24" spans="2:10" ht="15.75" thickBot="1" x14ac:dyDescent="0.3">
      <c r="B24" s="19" t="s">
        <v>16</v>
      </c>
      <c r="C24" s="19" t="s">
        <v>16</v>
      </c>
      <c r="D24" s="19" t="s">
        <v>16</v>
      </c>
      <c r="F24" s="56"/>
      <c r="G24" s="56"/>
      <c r="H24" s="56"/>
    </row>
    <row r="25" spans="2:10" ht="15.75" thickBot="1" x14ac:dyDescent="0.3">
      <c r="B25" s="20">
        <v>0.01</v>
      </c>
      <c r="C25" s="20">
        <v>1768.96</v>
      </c>
      <c r="D25" s="20">
        <v>407.02</v>
      </c>
      <c r="F25" s="56"/>
      <c r="G25" s="57"/>
      <c r="H25" s="56"/>
    </row>
    <row r="26" spans="2:10" ht="15.75" thickBot="1" x14ac:dyDescent="0.3">
      <c r="B26" s="20">
        <v>1768.97</v>
      </c>
      <c r="C26" s="20">
        <v>2653.38</v>
      </c>
      <c r="D26" s="20">
        <v>406.83</v>
      </c>
      <c r="F26" s="57"/>
      <c r="G26" s="57"/>
      <c r="H26" s="56"/>
    </row>
    <row r="27" spans="2:10" ht="15.75" thickBot="1" x14ac:dyDescent="0.3">
      <c r="B27" s="20">
        <v>2653.39</v>
      </c>
      <c r="C27" s="20">
        <v>3472.84</v>
      </c>
      <c r="D27" s="20">
        <v>406.62</v>
      </c>
      <c r="F27" s="57"/>
      <c r="G27" s="57"/>
      <c r="H27" s="56"/>
    </row>
    <row r="28" spans="2:10" ht="15.75" thickBot="1" x14ac:dyDescent="0.3">
      <c r="B28" s="20">
        <v>3472.85</v>
      </c>
      <c r="C28" s="20">
        <v>3537.87</v>
      </c>
      <c r="D28" s="20">
        <v>392.77</v>
      </c>
      <c r="F28" s="57"/>
      <c r="G28" s="57"/>
      <c r="H28" s="56"/>
    </row>
    <row r="29" spans="2:10" ht="15.75" thickBot="1" x14ac:dyDescent="0.3">
      <c r="B29" s="20">
        <v>3537.88</v>
      </c>
      <c r="C29" s="20">
        <v>4446.1499999999996</v>
      </c>
      <c r="D29" s="20">
        <v>382.46</v>
      </c>
      <c r="F29" s="57"/>
      <c r="G29" s="57"/>
      <c r="H29" s="56"/>
    </row>
    <row r="30" spans="2:10" ht="15.75" thickBot="1" x14ac:dyDescent="0.3">
      <c r="B30" s="20">
        <v>4446.16</v>
      </c>
      <c r="C30" s="20">
        <v>4717.18</v>
      </c>
      <c r="D30" s="20">
        <v>354.23</v>
      </c>
      <c r="F30" s="57"/>
      <c r="G30" s="57"/>
      <c r="H30" s="56"/>
    </row>
    <row r="31" spans="2:10" ht="15.75" thickBot="1" x14ac:dyDescent="0.3">
      <c r="B31" s="20">
        <v>4717.1899999999996</v>
      </c>
      <c r="C31" s="20">
        <v>5335.42</v>
      </c>
      <c r="D31" s="20">
        <v>324.87</v>
      </c>
      <c r="F31" s="57"/>
      <c r="G31" s="57"/>
      <c r="H31" s="56"/>
    </row>
    <row r="32" spans="2:10" ht="15.75" thickBot="1" x14ac:dyDescent="0.3">
      <c r="B32" s="20">
        <v>5335.43</v>
      </c>
      <c r="C32" s="20">
        <v>6224.67</v>
      </c>
      <c r="D32" s="20">
        <v>294.63</v>
      </c>
      <c r="F32" s="57"/>
      <c r="G32" s="57"/>
      <c r="H32" s="56"/>
    </row>
    <row r="33" spans="2:8" ht="15.75" thickBot="1" x14ac:dyDescent="0.3">
      <c r="B33" s="20">
        <v>6224.68</v>
      </c>
      <c r="C33" s="20">
        <v>7113.9</v>
      </c>
      <c r="D33" s="20">
        <v>253.54</v>
      </c>
      <c r="F33" s="57"/>
      <c r="G33" s="57"/>
      <c r="H33" s="56"/>
    </row>
    <row r="34" spans="2:8" ht="15.75" thickBot="1" x14ac:dyDescent="0.3">
      <c r="B34" s="20">
        <v>7113.91</v>
      </c>
      <c r="C34" s="20">
        <v>7382.33</v>
      </c>
      <c r="D34" s="20">
        <v>217.61</v>
      </c>
      <c r="F34" s="57"/>
      <c r="G34" s="57"/>
      <c r="H34" s="56"/>
    </row>
    <row r="35" spans="2:8" ht="15.75" thickBot="1" x14ac:dyDescent="0.3">
      <c r="B35" s="20">
        <v>7382.34</v>
      </c>
      <c r="C35" s="21">
        <v>99999999999999</v>
      </c>
      <c r="D35" s="20">
        <v>0</v>
      </c>
      <c r="F35" s="57"/>
      <c r="G35" s="58"/>
      <c r="H35" s="56"/>
    </row>
  </sheetData>
  <sheetProtection algorithmName="SHA-512" hashValue="PLygNr5x0n4O5tvDKjfu5ezeoRMAsAT6wR7mH3Wh7tILUYCc2h6G8mQbD75aO9VQv2ij+6p9H9DITAS9vuDKVA==" saltValue="mXr/RurQUmVjNpRPO7jJMg==" spinCount="100000" sheet="1" objects="1" scenarios="1"/>
  <mergeCells count="4">
    <mergeCell ref="B4:B8"/>
    <mergeCell ref="C4:C8"/>
    <mergeCell ref="D4:D8"/>
    <mergeCell ref="E4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AGUINALDO CC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Ivan Rodríguez Vázquez</dc:creator>
  <cp:lastModifiedBy>Edgar Ivan Rodriguez Vazquez</cp:lastModifiedBy>
  <dcterms:created xsi:type="dcterms:W3CDTF">2015-08-31T15:55:02Z</dcterms:created>
  <dcterms:modified xsi:type="dcterms:W3CDTF">2020-11-24T21:26:09Z</dcterms:modified>
</cp:coreProperties>
</file>